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Questa_cartella_di_lavoro" defaultThemeVersion="166925"/>
  <mc:AlternateContent xmlns:mc="http://schemas.openxmlformats.org/markup-compatibility/2006">
    <mc:Choice Requires="x15">
      <x15ac:absPath xmlns:x15ac="http://schemas.microsoft.com/office/spreadsheetml/2010/11/ac" url="https://rothoblaas.sharepoint.com/sites/dpt-tecd/Shared Documents/16_PROGETTI CONSULENTI/003_TECHNICAL_SHEETS_USA/NDS CALCULATION SHEETS USA/LOCK-T CALCULATION WITH NDS/"/>
    </mc:Choice>
  </mc:AlternateContent>
  <xr:revisionPtr revIDLastSave="1925" documentId="8_{A7A0EDC0-4405-4ACC-B333-ADAD024B0B3B}" xr6:coauthVersionLast="47" xr6:coauthVersionMax="47" xr10:uidLastSave="{7EFAD5C5-3C2A-4DD6-9B80-6586FC8F7984}"/>
  <workbookProtection workbookAlgorithmName="SHA-512" workbookHashValue="r2vs7Yn5yxOPpEgztQ6F7lBgAHFRiEy0Za4Zo4+1R0TbMOFTHOoP+1+sIFT2CXOupnClD48SIxOb7Yh09TNS0A==" workbookSaltValue="lhswh1JPtpy/y8owfpijxw==" workbookSpinCount="100000" lockStructure="1"/>
  <bookViews>
    <workbookView xWindow="-120" yWindow="-120" windowWidth="29040" windowHeight="15840" xr2:uid="{2A96AF71-B98E-416C-A2FD-55A3BB1EECC8}"/>
  </bookViews>
  <sheets>
    <sheet name="LOCK T calculator" sheetId="1" r:id="rId1"/>
    <sheet name="Foglio2" sheetId="2" state="hidden" r:id="rId2"/>
    <sheet name="Alpha" sheetId="3" state="hidden" r:id="rId3"/>
  </sheets>
  <definedNames>
    <definedName name="_xlnm.Print_Area" localSheetId="0">'LOCK T calculator'!$I$1:$V$273</definedName>
    <definedName name="BEAM">INDEX(Foglio2!$B$1:$B$14,MATCH('LOCK T calculator'!$X$43,Foglio2!$A$1:$A$14,0))</definedName>
    <definedName name="Evo">INDEX(Foglio2!$B$1:$B$9,MATCH('LOCK T calculator'!$L$122,Foglio2!$A$1:$A$9,0))</definedName>
    <definedName name="img_screw">INDEX(Foglio2!$B$1:$B$12,MATCH('LOCK T calculator'!$X$146,Foglio2!$A$1:$A$12,0))</definedName>
    <definedName name="img_screw2">INDEX(Foglio2!$B$1:$B$12,MATCH('LOCK T calculator'!$X$158,Foglio2!$A$1:$A$12,0))</definedName>
    <definedName name="Lateral_fix">INDEX(Foglio2!$B$1:$B$7,MATCH('LOCK T calculator'!$L$78,Foglio2!$A$1:$A$7,0))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88" i="1" l="1"/>
  <c r="N244" i="1" l="1"/>
  <c r="AC107" i="1" l="1"/>
  <c r="AC106" i="1"/>
  <c r="AC105" i="1"/>
  <c r="AC104" i="1"/>
  <c r="AC103" i="1"/>
  <c r="AC102" i="1"/>
  <c r="AC101" i="1"/>
  <c r="AC100" i="1"/>
  <c r="AB107" i="1"/>
  <c r="AB106" i="1"/>
  <c r="AB105" i="1"/>
  <c r="AB104" i="1"/>
  <c r="AB103" i="1"/>
  <c r="AB102" i="1"/>
  <c r="AB101" i="1"/>
  <c r="AB100" i="1"/>
  <c r="AX39" i="1" l="1"/>
  <c r="AX38" i="1"/>
  <c r="M102" i="1"/>
  <c r="F32" i="1" s="1"/>
  <c r="AA16" i="1"/>
  <c r="AA81" i="1" s="1"/>
  <c r="AA17" i="1"/>
  <c r="AA82" i="1" s="1"/>
  <c r="AR17" i="1"/>
  <c r="AR18" i="1"/>
  <c r="AP82" i="1" s="1"/>
  <c r="AR19" i="1"/>
  <c r="AP83" i="1" s="1"/>
  <c r="AR20" i="1"/>
  <c r="AP84" i="1" s="1"/>
  <c r="M83" i="1"/>
  <c r="M84" i="1" s="1"/>
  <c r="AY20" i="1"/>
  <c r="F95" i="1"/>
  <c r="F88" i="1"/>
  <c r="X64" i="1"/>
  <c r="X65" i="1"/>
  <c r="X66" i="1"/>
  <c r="X140" i="1"/>
  <c r="F45" i="1"/>
  <c r="F38" i="1"/>
  <c r="X139" i="1"/>
  <c r="X138" i="1"/>
  <c r="AA18" i="1"/>
  <c r="AA83" i="1" s="1"/>
  <c r="AA19" i="1"/>
  <c r="AA84" i="1" s="1"/>
  <c r="AA20" i="1"/>
  <c r="AA85" i="1" s="1"/>
  <c r="AA21" i="1"/>
  <c r="AA86" i="1" s="1"/>
  <c r="AA22" i="1"/>
  <c r="AA23" i="1"/>
  <c r="AA88" i="1" s="1"/>
  <c r="AA24" i="1"/>
  <c r="AA89" i="1" s="1"/>
  <c r="AA25" i="1"/>
  <c r="AA90" i="1" s="1"/>
  <c r="AA26" i="1"/>
  <c r="AA91" i="1" s="1"/>
  <c r="AA27" i="1"/>
  <c r="AA92" i="1" s="1"/>
  <c r="AA28" i="1"/>
  <c r="AA93" i="1" s="1"/>
  <c r="AA29" i="1"/>
  <c r="AA94" i="1" s="1"/>
  <c r="AA30" i="1"/>
  <c r="AA95" i="1" s="1"/>
  <c r="AA31" i="1"/>
  <c r="AA96" i="1" s="1"/>
  <c r="AA32" i="1"/>
  <c r="AA97" i="1" s="1"/>
  <c r="AA33" i="1"/>
  <c r="AA98" i="1" s="1"/>
  <c r="AA34" i="1"/>
  <c r="AA99" i="1" s="1"/>
  <c r="AA35" i="1"/>
  <c r="AA100" i="1" s="1"/>
  <c r="AA36" i="1"/>
  <c r="AA101" i="1" s="1"/>
  <c r="AA37" i="1"/>
  <c r="AA102" i="1" s="1"/>
  <c r="AA38" i="1"/>
  <c r="AA103" i="1" s="1"/>
  <c r="AA39" i="1"/>
  <c r="AA104" i="1" s="1"/>
  <c r="AA40" i="1"/>
  <c r="AA105" i="1" s="1"/>
  <c r="AA41" i="1"/>
  <c r="AA106" i="1" s="1"/>
  <c r="AA42" i="1"/>
  <c r="AA107" i="1" s="1"/>
  <c r="AG37" i="1"/>
  <c r="AG40" i="1"/>
  <c r="AG42" i="1"/>
  <c r="AR21" i="1"/>
  <c r="AP85" i="1" s="1"/>
  <c r="AR22" i="1"/>
  <c r="AP86" i="1" s="1"/>
  <c r="AR23" i="1"/>
  <c r="AP87" i="1" s="1"/>
  <c r="AR24" i="1"/>
  <c r="AP88" i="1" s="1"/>
  <c r="AR25" i="1"/>
  <c r="AP89" i="1" s="1"/>
  <c r="AR26" i="1"/>
  <c r="AP90" i="1" s="1"/>
  <c r="AR27" i="1"/>
  <c r="AP91" i="1" s="1"/>
  <c r="AR28" i="1"/>
  <c r="AP92" i="1" s="1"/>
  <c r="AR29" i="1"/>
  <c r="AP93" i="1" s="1"/>
  <c r="AR30" i="1"/>
  <c r="AP94" i="1" s="1"/>
  <c r="AR31" i="1"/>
  <c r="AP95" i="1" s="1"/>
  <c r="AR32" i="1"/>
  <c r="AP96" i="1" s="1"/>
  <c r="AR33" i="1"/>
  <c r="AP97" i="1" s="1"/>
  <c r="AR34" i="1"/>
  <c r="AP98" i="1" s="1"/>
  <c r="AR35" i="1"/>
  <c r="AP99" i="1" s="1"/>
  <c r="AR36" i="1"/>
  <c r="AP100" i="1" s="1"/>
  <c r="AR37" i="1"/>
  <c r="AP101" i="1" s="1"/>
  <c r="AR38" i="1"/>
  <c r="AP102" i="1" s="1"/>
  <c r="AR39" i="1"/>
  <c r="AP103" i="1" s="1"/>
  <c r="X43" i="1"/>
  <c r="M80" i="1"/>
  <c r="O79" i="1"/>
  <c r="L119" i="1"/>
  <c r="N79" i="1"/>
  <c r="J90" i="1"/>
  <c r="N78" i="1"/>
  <c r="L98" i="1"/>
  <c r="AP76" i="1"/>
  <c r="AP75" i="1"/>
  <c r="AP74" i="1"/>
  <c r="AP73" i="1"/>
  <c r="AP72" i="1"/>
  <c r="AP71" i="1"/>
  <c r="AP70" i="1"/>
  <c r="AP69" i="1"/>
  <c r="AP68" i="1"/>
  <c r="AP67" i="1"/>
  <c r="AP66" i="1"/>
  <c r="AP65" i="1"/>
  <c r="AP64" i="1"/>
  <c r="AP63" i="1"/>
  <c r="AP62" i="1"/>
  <c r="AP61" i="1"/>
  <c r="AP60" i="1"/>
  <c r="AP59" i="1"/>
  <c r="AP58" i="1"/>
  <c r="AP57" i="1"/>
  <c r="AP56" i="1"/>
  <c r="AP55" i="1"/>
  <c r="AP54" i="1"/>
  <c r="AP53" i="1"/>
  <c r="AP52" i="1"/>
  <c r="AP51" i="1"/>
  <c r="AP50" i="1"/>
  <c r="N114" i="1"/>
  <c r="M95" i="1"/>
  <c r="M90" i="1"/>
  <c r="AY17" i="1"/>
  <c r="AY18" i="1"/>
  <c r="AY19" i="1"/>
  <c r="AY21" i="1"/>
  <c r="AY22" i="1"/>
  <c r="AY23" i="1"/>
  <c r="AX24" i="1"/>
  <c r="AY24" i="1"/>
  <c r="AX25" i="1"/>
  <c r="AY25" i="1"/>
  <c r="AX26" i="1"/>
  <c r="AY26" i="1"/>
  <c r="AX27" i="1"/>
  <c r="AY27" i="1"/>
  <c r="AX28" i="1"/>
  <c r="AY28" i="1"/>
  <c r="AX29" i="1"/>
  <c r="AY29" i="1"/>
  <c r="AX30" i="1"/>
  <c r="AY30" i="1"/>
  <c r="AX31" i="1"/>
  <c r="AY31" i="1"/>
  <c r="AX32" i="1"/>
  <c r="AY32" i="1"/>
  <c r="AX33" i="1"/>
  <c r="AY33" i="1"/>
  <c r="AX34" i="1"/>
  <c r="AY34" i="1"/>
  <c r="AX35" i="1"/>
  <c r="AY35" i="1"/>
  <c r="AX36" i="1"/>
  <c r="AY36" i="1"/>
  <c r="AX37" i="1"/>
  <c r="AY37" i="1"/>
  <c r="AY38" i="1"/>
  <c r="AY39" i="1"/>
  <c r="J88" i="1"/>
  <c r="F24" i="1"/>
  <c r="J89" i="1"/>
  <c r="M89" i="1"/>
  <c r="H73" i="1"/>
  <c r="H81" i="1" s="1"/>
  <c r="L134" i="1"/>
  <c r="Y134" i="1"/>
  <c r="F67" i="1"/>
  <c r="F17" i="1"/>
  <c r="S68" i="1"/>
  <c r="L202" i="1"/>
  <c r="M68" i="1"/>
  <c r="J230" i="1"/>
  <c r="M108" i="1"/>
  <c r="M107" i="1"/>
  <c r="Z57" i="1"/>
  <c r="M46" i="1"/>
  <c r="M44" i="1"/>
  <c r="M43" i="1"/>
  <c r="M45" i="1"/>
  <c r="M50" i="1"/>
  <c r="M49" i="1"/>
  <c r="D28" i="3"/>
  <c r="D16" i="3"/>
  <c r="D13" i="3"/>
  <c r="D14" i="3"/>
  <c r="L20" i="3"/>
  <c r="H20" i="3"/>
  <c r="D21" i="3"/>
  <c r="T12" i="3"/>
  <c r="T14" i="3"/>
  <c r="T17" i="3"/>
  <c r="P12" i="3"/>
  <c r="P14" i="3"/>
  <c r="P17" i="3"/>
  <c r="L12" i="3"/>
  <c r="L14" i="3"/>
  <c r="L17" i="3"/>
  <c r="H12" i="3"/>
  <c r="H14" i="3"/>
  <c r="H17" i="3"/>
  <c r="H16" i="3"/>
  <c r="H26" i="3"/>
  <c r="L16" i="3"/>
  <c r="D17" i="3"/>
  <c r="D26" i="3"/>
  <c r="F28" i="3"/>
  <c r="J215" i="1"/>
  <c r="X10" i="1"/>
  <c r="X7" i="1"/>
  <c r="AP81" i="1" l="1"/>
  <c r="M246" i="1" s="1"/>
  <c r="F19" i="1"/>
  <c r="L127" i="1"/>
  <c r="J250" i="1" s="1"/>
  <c r="O244" i="1"/>
  <c r="F73" i="1"/>
  <c r="F74" i="1" s="1"/>
  <c r="L159" i="1"/>
  <c r="M159" i="1" s="1"/>
  <c r="N125" i="1"/>
  <c r="L163" i="1"/>
  <c r="M163" i="1" s="1"/>
  <c r="O108" i="1"/>
  <c r="N108" i="1" s="1"/>
  <c r="L111" i="1" s="1"/>
  <c r="O89" i="1"/>
  <c r="N89" i="1" s="1"/>
  <c r="L93" i="1" s="1"/>
  <c r="AA87" i="1"/>
  <c r="M145" i="1"/>
  <c r="M131" i="1"/>
  <c r="L131" i="1" s="1"/>
  <c r="M132" i="1"/>
  <c r="M133" i="1"/>
  <c r="L133" i="1" s="1"/>
  <c r="M135" i="1"/>
  <c r="L135" i="1" s="1"/>
  <c r="L150" i="1"/>
  <c r="M150" i="1" s="1"/>
  <c r="F70" i="1"/>
  <c r="F71" i="1" s="1"/>
  <c r="O107" i="1"/>
  <c r="N107" i="1" s="1"/>
  <c r="L110" i="1" s="1"/>
  <c r="L146" i="1"/>
  <c r="M146" i="1" s="1"/>
  <c r="F116" i="1"/>
  <c r="F117" i="1" s="1"/>
  <c r="AK56" i="1"/>
  <c r="F134" i="1"/>
  <c r="AK57" i="1"/>
  <c r="N140" i="1"/>
  <c r="X146" i="1"/>
  <c r="X158" i="1"/>
  <c r="F20" i="1"/>
  <c r="F21" i="1" s="1"/>
  <c r="M147" i="1"/>
  <c r="L147" i="1" s="1"/>
  <c r="O90" i="1"/>
  <c r="N90" i="1" s="1"/>
  <c r="M93" i="1" s="1"/>
  <c r="F69" i="1"/>
  <c r="F75" i="1" s="1"/>
  <c r="M158" i="1"/>
  <c r="L141" i="1"/>
  <c r="N246" i="1" s="1"/>
  <c r="N153" i="1"/>
  <c r="F34" i="1"/>
  <c r="M160" i="1"/>
  <c r="F42" i="1" s="1"/>
  <c r="F43" i="1" s="1"/>
  <c r="F47" i="1" s="1"/>
  <c r="F133" i="1"/>
  <c r="L117" i="1"/>
  <c r="M103" i="1"/>
  <c r="L114" i="1" s="1"/>
  <c r="X55" i="1" s="1"/>
  <c r="F33" i="1"/>
  <c r="F35" i="1"/>
  <c r="O101" i="1"/>
  <c r="L96" i="1"/>
  <c r="F82" i="1"/>
  <c r="O82" i="1"/>
  <c r="F135" i="1"/>
  <c r="O247" i="1" l="1"/>
  <c r="O246" i="1"/>
  <c r="M247" i="1"/>
  <c r="R215" i="1"/>
  <c r="R218" i="1" s="1"/>
  <c r="L158" i="1"/>
  <c r="F18" i="1" s="1"/>
  <c r="P247" i="1"/>
  <c r="L145" i="1"/>
  <c r="F68" i="1" s="1"/>
  <c r="F76" i="1" s="1"/>
  <c r="E107" i="1" s="1"/>
  <c r="P246" i="1"/>
  <c r="L132" i="1"/>
  <c r="O80" i="1"/>
  <c r="O88" i="1" s="1"/>
  <c r="N88" i="1" s="1"/>
  <c r="F138" i="1"/>
  <c r="F139" i="1" s="1"/>
  <c r="L160" i="1"/>
  <c r="F92" i="1"/>
  <c r="F93" i="1" s="1"/>
  <c r="F97" i="1" s="1"/>
  <c r="L128" i="1"/>
  <c r="M244" i="1"/>
  <c r="F81" i="1"/>
  <c r="R230" i="1"/>
  <c r="R233" i="1" s="1"/>
  <c r="N141" i="1"/>
  <c r="X63" i="1"/>
  <c r="AB64" i="1" s="1"/>
  <c r="AD64" i="1" s="1"/>
  <c r="M114" i="1"/>
  <c r="F136" i="1"/>
  <c r="F137" i="1" s="1"/>
  <c r="K179" i="1" s="1"/>
  <c r="M179" i="1" s="1"/>
  <c r="L109" i="1"/>
  <c r="L154" i="1"/>
  <c r="N247" i="1" s="1"/>
  <c r="F122" i="1"/>
  <c r="K230" i="1"/>
  <c r="K215" i="1"/>
  <c r="X137" i="1"/>
  <c r="F36" i="1"/>
  <c r="F40" i="1" s="1"/>
  <c r="F53" i="1" s="1"/>
  <c r="F25" i="1"/>
  <c r="F84" i="1"/>
  <c r="N154" i="1"/>
  <c r="AD55" i="1"/>
  <c r="X56" i="1"/>
  <c r="AD56" i="1" s="1"/>
  <c r="X57" i="1"/>
  <c r="AD57" i="1" s="1"/>
  <c r="X58" i="1"/>
  <c r="AD58" i="1" s="1"/>
  <c r="X59" i="1"/>
  <c r="AD59" i="1" s="1"/>
  <c r="F85" i="1"/>
  <c r="F86" i="1" s="1"/>
  <c r="F90" i="1" s="1"/>
  <c r="F103" i="1" s="1"/>
  <c r="F83" i="1"/>
  <c r="F77" i="1"/>
  <c r="F78" i="1" l="1"/>
  <c r="F28" i="1"/>
  <c r="E60" i="1" s="1"/>
  <c r="L92" i="1"/>
  <c r="L91" i="1"/>
  <c r="AB67" i="1"/>
  <c r="AD67" i="1" s="1"/>
  <c r="G110" i="1"/>
  <c r="H110" i="1" s="1"/>
  <c r="AB65" i="1"/>
  <c r="AD65" i="1" s="1"/>
  <c r="N80" i="1"/>
  <c r="AB63" i="1"/>
  <c r="AD63" i="1" s="1"/>
  <c r="G107" i="1"/>
  <c r="H107" i="1" s="1"/>
  <c r="AB66" i="1"/>
  <c r="AD66" i="1" s="1"/>
  <c r="F140" i="1"/>
  <c r="F51" i="1"/>
  <c r="E59" i="1" s="1"/>
  <c r="K191" i="1" s="1"/>
  <c r="F49" i="1"/>
  <c r="F27" i="1"/>
  <c r="F26" i="1"/>
  <c r="E57" i="1" s="1"/>
  <c r="K189" i="1" s="1"/>
  <c r="AD60" i="1"/>
  <c r="E106" i="1"/>
  <c r="F106" i="1" s="1"/>
  <c r="F101" i="1"/>
  <c r="E109" i="1" s="1"/>
  <c r="K172" i="1" s="1"/>
  <c r="M172" i="1" s="1"/>
  <c r="E111" i="1"/>
  <c r="K174" i="1" s="1"/>
  <c r="M174" i="1" s="1"/>
  <c r="G111" i="1"/>
  <c r="H111" i="1" s="1"/>
  <c r="E110" i="1"/>
  <c r="F110" i="1" s="1"/>
  <c r="F99" i="1"/>
  <c r="E108" i="1" s="1"/>
  <c r="F107" i="1"/>
  <c r="K170" i="1"/>
  <c r="M170" i="1" s="1"/>
  <c r="G61" i="1" l="1"/>
  <c r="H61" i="1" s="1"/>
  <c r="G60" i="1"/>
  <c r="H60" i="1" s="1"/>
  <c r="E61" i="1"/>
  <c r="K193" i="1" s="1"/>
  <c r="AD68" i="1"/>
  <c r="AE64" i="1" s="1"/>
  <c r="M92" i="1"/>
  <c r="F59" i="1"/>
  <c r="M191" i="1" s="1"/>
  <c r="E58" i="1"/>
  <c r="K190" i="1" s="1"/>
  <c r="F61" i="1"/>
  <c r="M193" i="1" s="1"/>
  <c r="F57" i="1"/>
  <c r="M189" i="1" s="1"/>
  <c r="E56" i="1"/>
  <c r="K188" i="1" s="1"/>
  <c r="G57" i="1"/>
  <c r="H57" i="1" s="1"/>
  <c r="K169" i="1"/>
  <c r="M169" i="1" s="1"/>
  <c r="F109" i="1"/>
  <c r="F111" i="1"/>
  <c r="G106" i="1"/>
  <c r="G113" i="1" s="1"/>
  <c r="AE55" i="1"/>
  <c r="AE56" i="1"/>
  <c r="AE57" i="1"/>
  <c r="AE58" i="1"/>
  <c r="AE59" i="1"/>
  <c r="K171" i="1"/>
  <c r="M171" i="1" s="1"/>
  <c r="E113" i="1"/>
  <c r="B149" i="1" s="1"/>
  <c r="F108" i="1"/>
  <c r="K173" i="1"/>
  <c r="M173" i="1" s="1"/>
  <c r="F60" i="1"/>
  <c r="M192" i="1" s="1"/>
  <c r="K192" i="1"/>
  <c r="K195" i="1" l="1"/>
  <c r="AE65" i="1"/>
  <c r="AE63" i="1"/>
  <c r="R55" i="1" s="1"/>
  <c r="AE67" i="1"/>
  <c r="AE66" i="1"/>
  <c r="G56" i="1"/>
  <c r="H56" i="1" s="1"/>
  <c r="H63" i="1" s="1"/>
  <c r="F58" i="1"/>
  <c r="M190" i="1" s="1"/>
  <c r="N215" i="1"/>
  <c r="F56" i="1"/>
  <c r="M188" i="1" s="1"/>
  <c r="H106" i="1"/>
  <c r="H113" i="1" s="1"/>
  <c r="E63" i="1"/>
  <c r="F113" i="1"/>
  <c r="M176" i="1"/>
  <c r="K176" i="1"/>
  <c r="L62" i="1"/>
  <c r="M62" i="1" s="1"/>
  <c r="L56" i="1"/>
  <c r="L55" i="1"/>
  <c r="L59" i="1"/>
  <c r="M59" i="1" s="1"/>
  <c r="M195" i="1" l="1"/>
  <c r="R62" i="1"/>
  <c r="S62" i="1" s="1"/>
  <c r="R56" i="1"/>
  <c r="P203" i="1" s="1"/>
  <c r="X141" i="1" s="1"/>
  <c r="R59" i="1"/>
  <c r="S59" i="1" s="1"/>
  <c r="F63" i="1"/>
  <c r="G63" i="1"/>
  <c r="M71" i="1"/>
  <c r="N218" i="1"/>
  <c r="N230" i="1" l="1"/>
  <c r="N233" i="1" s="1"/>
  <c r="S71" i="1"/>
  <c r="F119" i="1" s="1"/>
  <c r="F118" i="1"/>
  <c r="F123" i="1"/>
  <c r="B153" i="1"/>
  <c r="F124" i="1" l="1"/>
  <c r="F128" i="1" s="1"/>
  <c r="F129" i="1"/>
  <c r="F127" i="1"/>
  <c r="F130" i="1" l="1"/>
  <c r="N183" i="1" s="1"/>
  <c r="F144" i="1"/>
  <c r="B150" i="1" s="1"/>
  <c r="B154" i="1" s="1"/>
  <c r="F147" i="1" l="1"/>
  <c r="K182" i="1"/>
  <c r="P215" i="1" s="1"/>
  <c r="P218" i="1" s="1"/>
  <c r="B152" i="1"/>
  <c r="P230" i="1" l="1"/>
  <c r="M182" i="1"/>
  <c r="P233" i="1" l="1"/>
  <c r="N236" i="1"/>
  <c r="N221" i="1"/>
  <c r="M221" i="1" l="1"/>
  <c r="P221" i="1"/>
  <c r="R221" i="1" s="1"/>
  <c r="M236" i="1"/>
  <c r="P236" i="1"/>
  <c r="R236" i="1" s="1"/>
</calcChain>
</file>

<file path=xl/sharedStrings.xml><?xml version="1.0" encoding="utf-8"?>
<sst xmlns="http://schemas.openxmlformats.org/spreadsheetml/2006/main" count="1000" uniqueCount="536">
  <si>
    <t>LOCKT1880</t>
  </si>
  <si>
    <t>Calculation standard:</t>
  </si>
  <si>
    <t>NDS</t>
  </si>
  <si>
    <t>Date:</t>
  </si>
  <si>
    <t>RB sales agent:</t>
  </si>
  <si>
    <t>Project:</t>
  </si>
  <si>
    <t>n</t>
  </si>
  <si>
    <t>Ø</t>
  </si>
  <si>
    <t>type</t>
  </si>
  <si>
    <t>Convertitore</t>
  </si>
  <si>
    <t>[mm]</t>
  </si>
  <si>
    <t>[in]</t>
  </si>
  <si>
    <t>LOCKT3580</t>
  </si>
  <si>
    <t>LOCKT35100</t>
  </si>
  <si>
    <t>LOCKT35120</t>
  </si>
  <si>
    <t>LOCKT53120</t>
  </si>
  <si>
    <t>LOCKT50135</t>
  </si>
  <si>
    <t>LOCKT50175</t>
  </si>
  <si>
    <t>LOCKT75175</t>
  </si>
  <si>
    <t>LOCKT75215</t>
  </si>
  <si>
    <t>LOCKT100215</t>
  </si>
  <si>
    <t>Dr</t>
  </si>
  <si>
    <t>D</t>
  </si>
  <si>
    <t>[psi]</t>
  </si>
  <si>
    <t>Number of screws on each side of the LOCK-T</t>
  </si>
  <si>
    <r>
      <t>R</t>
    </r>
    <r>
      <rPr>
        <b/>
        <vertAlign val="subscript"/>
        <sz val="10"/>
        <color theme="1"/>
        <rFont val="Verdana"/>
        <family val="2"/>
      </rPr>
      <t>d, Im, Is</t>
    </r>
  </si>
  <si>
    <r>
      <t>R</t>
    </r>
    <r>
      <rPr>
        <b/>
        <vertAlign val="subscript"/>
        <sz val="10"/>
        <color theme="1"/>
        <rFont val="Verdana"/>
        <family val="2"/>
      </rPr>
      <t>d</t>
    </r>
    <r>
      <rPr>
        <b/>
        <sz val="10"/>
        <color theme="1"/>
        <rFont val="Verdana"/>
        <family val="2"/>
      </rPr>
      <t xml:space="preserve">, </t>
    </r>
    <r>
      <rPr>
        <b/>
        <vertAlign val="subscript"/>
        <sz val="10"/>
        <color theme="1"/>
        <rFont val="Verdana"/>
        <family val="2"/>
      </rPr>
      <t>II</t>
    </r>
  </si>
  <si>
    <r>
      <t>R</t>
    </r>
    <r>
      <rPr>
        <b/>
        <vertAlign val="subscript"/>
        <sz val="10"/>
        <color theme="1"/>
        <rFont val="Verdana"/>
        <family val="2"/>
      </rPr>
      <t>d, III, IIIs, IV</t>
    </r>
  </si>
  <si>
    <r>
      <t>k</t>
    </r>
    <r>
      <rPr>
        <b/>
        <vertAlign val="subscript"/>
        <sz val="10"/>
        <color theme="1"/>
        <rFont val="Verdana"/>
        <family val="2"/>
      </rPr>
      <t>1</t>
    </r>
  </si>
  <si>
    <t>Yield mode</t>
  </si>
  <si>
    <r>
      <t>Single shear [lb</t>
    </r>
    <r>
      <rPr>
        <b/>
        <vertAlign val="subscript"/>
        <sz val="10"/>
        <color theme="1"/>
        <rFont val="Verdana"/>
        <family val="2"/>
      </rPr>
      <t>f</t>
    </r>
    <r>
      <rPr>
        <b/>
        <sz val="10"/>
        <color theme="1"/>
        <rFont val="Verdana"/>
        <family val="2"/>
      </rPr>
      <t>]</t>
    </r>
  </si>
  <si>
    <t>Single shear [kN]</t>
  </si>
  <si>
    <r>
      <t>Double shear [lb</t>
    </r>
    <r>
      <rPr>
        <b/>
        <vertAlign val="subscript"/>
        <sz val="10"/>
        <color theme="1"/>
        <rFont val="Verdana"/>
        <family val="2"/>
      </rPr>
      <t>f</t>
    </r>
    <r>
      <rPr>
        <b/>
        <sz val="10"/>
        <color theme="1"/>
        <rFont val="Verdana"/>
        <family val="2"/>
      </rPr>
      <t>]</t>
    </r>
  </si>
  <si>
    <t>Double shear [kN]</t>
  </si>
  <si>
    <r>
      <t>I</t>
    </r>
    <r>
      <rPr>
        <vertAlign val="subscript"/>
        <sz val="10"/>
        <color theme="1"/>
        <rFont val="Verdana"/>
        <family val="2"/>
      </rPr>
      <t>m</t>
    </r>
  </si>
  <si>
    <r>
      <t>k</t>
    </r>
    <r>
      <rPr>
        <b/>
        <vertAlign val="subscript"/>
        <sz val="10"/>
        <color theme="1"/>
        <rFont val="Verdana"/>
        <family val="2"/>
      </rPr>
      <t>2</t>
    </r>
  </si>
  <si>
    <r>
      <t>I</t>
    </r>
    <r>
      <rPr>
        <vertAlign val="subscript"/>
        <sz val="10"/>
        <color theme="1"/>
        <rFont val="Verdana"/>
        <family val="2"/>
      </rPr>
      <t>s</t>
    </r>
  </si>
  <si>
    <t>II</t>
  </si>
  <si>
    <r>
      <t>k</t>
    </r>
    <r>
      <rPr>
        <b/>
        <vertAlign val="subscript"/>
        <sz val="10"/>
        <color theme="1"/>
        <rFont val="Verdana"/>
        <family val="2"/>
      </rPr>
      <t>3</t>
    </r>
  </si>
  <si>
    <r>
      <t>III</t>
    </r>
    <r>
      <rPr>
        <vertAlign val="subscript"/>
        <sz val="10"/>
        <color theme="1"/>
        <rFont val="Verdana"/>
        <family val="2"/>
      </rPr>
      <t>m</t>
    </r>
  </si>
  <si>
    <r>
      <t>III</t>
    </r>
    <r>
      <rPr>
        <vertAlign val="subscript"/>
        <sz val="10"/>
        <color theme="1"/>
        <rFont val="Verdana"/>
        <family val="2"/>
      </rPr>
      <t>s</t>
    </r>
  </si>
  <si>
    <r>
      <t>R</t>
    </r>
    <r>
      <rPr>
        <b/>
        <vertAlign val="subscript"/>
        <sz val="10"/>
        <color theme="1"/>
        <rFont val="Verdana"/>
        <family val="2"/>
      </rPr>
      <t>e</t>
    </r>
  </si>
  <si>
    <t>IV</t>
  </si>
  <si>
    <t>Timber</t>
  </si>
  <si>
    <t>Spruce-Pine-Fir</t>
  </si>
  <si>
    <r>
      <t>R</t>
    </r>
    <r>
      <rPr>
        <b/>
        <vertAlign val="subscript"/>
        <sz val="10"/>
        <color theme="1"/>
        <rFont val="Verdana"/>
        <family val="2"/>
      </rPr>
      <t>t</t>
    </r>
  </si>
  <si>
    <t>Z</t>
  </si>
  <si>
    <t>θ</t>
  </si>
  <si>
    <r>
      <t>F</t>
    </r>
    <r>
      <rPr>
        <b/>
        <vertAlign val="subscript"/>
        <sz val="10"/>
        <color theme="1"/>
        <rFont val="Verdana"/>
        <family val="2"/>
      </rPr>
      <t>em</t>
    </r>
  </si>
  <si>
    <r>
      <t>F</t>
    </r>
    <r>
      <rPr>
        <b/>
        <vertAlign val="subscript"/>
        <sz val="10"/>
        <color theme="1"/>
        <rFont val="Verdana"/>
        <family val="2"/>
      </rPr>
      <t>e//</t>
    </r>
  </si>
  <si>
    <r>
      <t>F</t>
    </r>
    <r>
      <rPr>
        <b/>
        <vertAlign val="subscript"/>
        <sz val="10"/>
        <color theme="1"/>
        <rFont val="Verdana"/>
        <family val="2"/>
      </rPr>
      <t>e ⟂</t>
    </r>
  </si>
  <si>
    <r>
      <t>K</t>
    </r>
    <r>
      <rPr>
        <b/>
        <vertAlign val="subscript"/>
        <sz val="10"/>
        <color theme="1"/>
        <rFont val="Verdana"/>
        <family val="2"/>
      </rPr>
      <t>θ</t>
    </r>
  </si>
  <si>
    <r>
      <t>K</t>
    </r>
    <r>
      <rPr>
        <b/>
        <vertAlign val="subscript"/>
        <sz val="10"/>
        <color theme="1"/>
        <rFont val="Verdana"/>
        <family val="2"/>
      </rPr>
      <t>D</t>
    </r>
  </si>
  <si>
    <t>Lc</t>
  </si>
  <si>
    <t>Distance between adjacent holes in the steel plate</t>
  </si>
  <si>
    <t>Z'</t>
  </si>
  <si>
    <t xml:space="preserve"> [kN]</t>
  </si>
  <si>
    <r>
      <rPr>
        <b/>
        <sz val="10"/>
        <color theme="1"/>
        <rFont val="Verdana"/>
        <family val="2"/>
      </rPr>
      <t>Rotho blaas USA Inc.</t>
    </r>
    <r>
      <rPr>
        <sz val="8"/>
        <color theme="1"/>
        <rFont val="Verdana"/>
        <family val="2"/>
      </rPr>
      <t xml:space="preserve"> - all rights reserved</t>
    </r>
  </si>
  <si>
    <r>
      <t>40, Wall Street, 28</t>
    </r>
    <r>
      <rPr>
        <vertAlign val="superscript"/>
        <sz val="8"/>
        <color theme="1"/>
        <rFont val="Verdana"/>
        <family val="2"/>
      </rPr>
      <t>th</t>
    </r>
    <r>
      <rPr>
        <sz val="8"/>
        <color theme="1"/>
        <rFont val="Verdana"/>
        <family val="2"/>
      </rPr>
      <t xml:space="preserve"> floor｜ New York ｜ NY 10005 ｜ USA ｜ Tel: +1 917 656 9077 ｜ usa@rothoblaas.com ｜ www.rothoblaas.com</t>
    </r>
  </si>
  <si>
    <t>Species</t>
  </si>
  <si>
    <t>Gravity</t>
  </si>
  <si>
    <t>Alaska Cedar</t>
  </si>
  <si>
    <t>Balsam Fir</t>
  </si>
  <si>
    <t>Beech-Birch-Hickory</t>
  </si>
  <si>
    <t>Coast Sitka Spruce</t>
  </si>
  <si>
    <t>Douglas Fir-Larch</t>
  </si>
  <si>
    <t>[kN]</t>
  </si>
  <si>
    <t>Douglas Fir-Larch (North)</t>
  </si>
  <si>
    <t>Douglas Fir-South</t>
  </si>
  <si>
    <t>Eastern Hemlock</t>
  </si>
  <si>
    <t>Eastern Hemlock-Tamarack</t>
  </si>
  <si>
    <t>Eastern Hemlock-Tamarack (North)</t>
  </si>
  <si>
    <t>h</t>
  </si>
  <si>
    <t>Eastern Spruce</t>
  </si>
  <si>
    <t>Eastern White Pine</t>
  </si>
  <si>
    <t>Hem-Fir</t>
  </si>
  <si>
    <t>Hem-Fir (North)</t>
  </si>
  <si>
    <t>Mixed Maple</t>
  </si>
  <si>
    <t>Mixed Oak</t>
  </si>
  <si>
    <t>Mixed Southern Pine</t>
  </si>
  <si>
    <t>Mountain Hemlock</t>
  </si>
  <si>
    <t>Northern Pine</t>
  </si>
  <si>
    <t>Northern Red Oak</t>
  </si>
  <si>
    <t>Northern White Cedar</t>
  </si>
  <si>
    <t>Ponderosa Pine</t>
  </si>
  <si>
    <t>Red Maple</t>
  </si>
  <si>
    <t>Red Oak</t>
  </si>
  <si>
    <t>Red Pine</t>
  </si>
  <si>
    <t>Redwood, close grain</t>
  </si>
  <si>
    <t>Sitka Spruce</t>
  </si>
  <si>
    <t>Southern Pine</t>
  </si>
  <si>
    <t>Spruce-Pine-Fir (South)</t>
  </si>
  <si>
    <t>Western Cedars</t>
  </si>
  <si>
    <t>Western Cedars (North)</t>
  </si>
  <si>
    <t>Western Hemlock</t>
  </si>
  <si>
    <t>Western Hemlock (North)</t>
  </si>
  <si>
    <t>Western White Pine</t>
  </si>
  <si>
    <t>Western Woods</t>
  </si>
  <si>
    <t>White Oak</t>
  </si>
  <si>
    <t>W'</t>
  </si>
  <si>
    <t>p</t>
  </si>
  <si>
    <t>-</t>
  </si>
  <si>
    <t>LBS 5x50</t>
  </si>
  <si>
    <t>2 viti per parte</t>
  </si>
  <si>
    <t>kN</t>
  </si>
  <si>
    <t>Fved*e=Fax,rD*br</t>
  </si>
  <si>
    <t>tan(a)=Fax/Fvrd</t>
  </si>
  <si>
    <t>Fax/Frd=1/Kh</t>
  </si>
  <si>
    <t>kh=Fvrd/Fax</t>
  </si>
  <si>
    <t>kh</t>
  </si>
  <si>
    <t>Fvrd</t>
  </si>
  <si>
    <t>GL24h</t>
  </si>
  <si>
    <t>Fax</t>
  </si>
  <si>
    <t>alpha</t>
  </si>
  <si>
    <t>num modili</t>
  </si>
  <si>
    <t>4 viti per parte</t>
  </si>
  <si>
    <t>6 viti per parte</t>
  </si>
  <si>
    <t>Z'a</t>
  </si>
  <si>
    <t>alpha radianti</t>
  </si>
  <si>
    <t>da catalogo LBS</t>
  </si>
  <si>
    <t>inch profondità infissione</t>
  </si>
  <si>
    <t>calcolo con NDS</t>
  </si>
  <si>
    <t>Fax,H,Ed</t>
  </si>
  <si>
    <t>Fz,Ed</t>
  </si>
  <si>
    <t>calcolo con NDS 1 vite</t>
  </si>
  <si>
    <t>Z'alpha</t>
  </si>
  <si>
    <t>num moduli</t>
  </si>
  <si>
    <t>gradi</t>
  </si>
  <si>
    <t>rad</t>
  </si>
  <si>
    <t>da calcolo LBS, 1 vite</t>
  </si>
  <si>
    <t>inch profondità infissione 42mm</t>
  </si>
  <si>
    <t>W' [lbf]</t>
  </si>
  <si>
    <t>Z' [lbf]</t>
  </si>
  <si>
    <t>p [in]</t>
  </si>
  <si>
    <t>Z_Ed_kN</t>
  </si>
  <si>
    <t>lbf</t>
  </si>
  <si>
    <t>form factor taking into account eccentricity</t>
  </si>
  <si>
    <t>Z_Ed_alpha</t>
  </si>
  <si>
    <t>Fz_Ed_tot</t>
  </si>
  <si>
    <t>kN totali agenti sulla connessione</t>
  </si>
  <si>
    <t>n_viti su principale</t>
  </si>
  <si>
    <t>kh2</t>
  </si>
  <si>
    <t>n modules</t>
  </si>
  <si>
    <t>Form factor taking into account the eccentricity</t>
  </si>
  <si>
    <t>alpha rad</t>
  </si>
  <si>
    <t>UTILIZATION FACTOR</t>
  </si>
  <si>
    <r>
      <t>C</t>
    </r>
    <r>
      <rPr>
        <b/>
        <vertAlign val="subscript"/>
        <sz val="11"/>
        <color theme="1"/>
        <rFont val="Verdana"/>
        <family val="2"/>
      </rPr>
      <t>M</t>
    </r>
    <r>
      <rPr>
        <b/>
        <sz val="11"/>
        <color theme="1"/>
        <rFont val="Verdana"/>
        <family val="2"/>
      </rPr>
      <t>=</t>
    </r>
  </si>
  <si>
    <r>
      <t>C</t>
    </r>
    <r>
      <rPr>
        <b/>
        <vertAlign val="subscript"/>
        <sz val="11"/>
        <color theme="1"/>
        <rFont val="Verdana"/>
        <family val="2"/>
      </rPr>
      <t>t</t>
    </r>
    <r>
      <rPr>
        <b/>
        <sz val="11"/>
        <color theme="1"/>
        <rFont val="Verdana"/>
        <family val="2"/>
      </rPr>
      <t>=</t>
    </r>
  </si>
  <si>
    <r>
      <t>C</t>
    </r>
    <r>
      <rPr>
        <b/>
        <vertAlign val="subscript"/>
        <sz val="11"/>
        <color theme="1"/>
        <rFont val="Verdana"/>
        <family val="2"/>
      </rPr>
      <t>D</t>
    </r>
    <r>
      <rPr>
        <b/>
        <sz val="11"/>
        <color theme="1"/>
        <rFont val="Verdana"/>
        <family val="2"/>
      </rPr>
      <t>=</t>
    </r>
  </si>
  <si>
    <t>Wet service factor</t>
  </si>
  <si>
    <t>Temperature factor</t>
  </si>
  <si>
    <t>Load duration factor</t>
  </si>
  <si>
    <t>LOCKT100240</t>
  </si>
  <si>
    <t>LOCKT75240</t>
  </si>
  <si>
    <t>LOCKT125240</t>
  </si>
  <si>
    <t>LOCKT75265</t>
  </si>
  <si>
    <t>LOCKT100265</t>
  </si>
  <si>
    <t>LOCKT125265</t>
  </si>
  <si>
    <t>LOCKT75290</t>
  </si>
  <si>
    <t>LOCKT100290</t>
  </si>
  <si>
    <t>LOCKT125290</t>
  </si>
  <si>
    <t>Hidden</t>
  </si>
  <si>
    <t>Length</t>
  </si>
  <si>
    <t>mm</t>
  </si>
  <si>
    <t>LBS</t>
  </si>
  <si>
    <t>x</t>
  </si>
  <si>
    <t>LBS540</t>
  </si>
  <si>
    <t>LBS550</t>
  </si>
  <si>
    <t>LBS560</t>
  </si>
  <si>
    <t>LBS570</t>
  </si>
  <si>
    <t>LBS760</t>
  </si>
  <si>
    <t>LBS780</t>
  </si>
  <si>
    <t>LBS7100</t>
  </si>
  <si>
    <t>KKF540</t>
  </si>
  <si>
    <t>KKF</t>
  </si>
  <si>
    <t>KKF550</t>
  </si>
  <si>
    <t>KKF560</t>
  </si>
  <si>
    <t>KKF570</t>
  </si>
  <si>
    <t>KKF580</t>
  </si>
  <si>
    <t>KKF590</t>
  </si>
  <si>
    <t>KKF5100</t>
  </si>
  <si>
    <t>KKF680</t>
  </si>
  <si>
    <t>KKF6100</t>
  </si>
  <si>
    <t>KKF6120</t>
  </si>
  <si>
    <t>HBSPEVO550</t>
  </si>
  <si>
    <t>HBS PLATE EVO</t>
  </si>
  <si>
    <t>HBSPEVO560</t>
  </si>
  <si>
    <t>HBSPEVO570</t>
  </si>
  <si>
    <t>HBSPEVO580</t>
  </si>
  <si>
    <t>HBSPEVO680</t>
  </si>
  <si>
    <t>HBSPEVO690</t>
  </si>
  <si>
    <t>Kf=</t>
  </si>
  <si>
    <t>Tip length</t>
  </si>
  <si>
    <t>in</t>
  </si>
  <si>
    <t>Bending yield strength</t>
  </si>
  <si>
    <t>psi</t>
  </si>
  <si>
    <t>Error</t>
  </si>
  <si>
    <t>Bending from test values or from ICC report</t>
  </si>
  <si>
    <t>Type of screw</t>
  </si>
  <si>
    <t>Diameter</t>
  </si>
  <si>
    <t>Thread 
b</t>
  </si>
  <si>
    <t>with predrill</t>
  </si>
  <si>
    <t>without predrill</t>
  </si>
  <si>
    <t>b</t>
  </si>
  <si>
    <t>Primary beam</t>
  </si>
  <si>
    <t>Secondary beam</t>
  </si>
  <si>
    <t>same as screw length</t>
  </si>
  <si>
    <t>Without predrill comes from testing</t>
  </si>
  <si>
    <t>predrill</t>
  </si>
  <si>
    <t>Yes</t>
  </si>
  <si>
    <t>No</t>
  </si>
  <si>
    <t>[psf]</t>
  </si>
  <si>
    <t>[m]</t>
  </si>
  <si>
    <t>[ft]</t>
  </si>
  <si>
    <t>SCREW SELECTION</t>
  </si>
  <si>
    <t>GEOMETRY LOCK AND BEAMS</t>
  </si>
  <si>
    <t>LC</t>
  </si>
  <si>
    <t>D+L</t>
  </si>
  <si>
    <t>D+S</t>
  </si>
  <si>
    <t>D+0.75L+0.75S</t>
  </si>
  <si>
    <t>Max</t>
  </si>
  <si>
    <t>D+LR</t>
  </si>
  <si>
    <t>[plf]</t>
  </si>
  <si>
    <t>plf</t>
  </si>
  <si>
    <r>
      <t>C</t>
    </r>
    <r>
      <rPr>
        <vertAlign val="subscript"/>
        <sz val="11"/>
        <rFont val="Calibri"/>
        <family val="2"/>
        <scheme val="minor"/>
      </rPr>
      <t>D</t>
    </r>
  </si>
  <si>
    <r>
      <t>LOAD/C</t>
    </r>
    <r>
      <rPr>
        <vertAlign val="subscript"/>
        <sz val="11"/>
        <rFont val="Calibri"/>
        <family val="2"/>
        <scheme val="minor"/>
      </rPr>
      <t>D</t>
    </r>
  </si>
  <si>
    <t>pound per linear foot</t>
  </si>
  <si>
    <t>ASD GOVERNING ALLOWABLE CAPACITY =</t>
  </si>
  <si>
    <t>LRFD GOVERNING ALLOWABLE CAPACITY =</t>
  </si>
  <si>
    <t>LRFD</t>
  </si>
  <si>
    <t>kN axial in the turthest connector, max</t>
  </si>
  <si>
    <t>kN for every fastener</t>
  </si>
  <si>
    <t>degree</t>
  </si>
  <si>
    <t>This screw type is not contained in the ICC-ESR 4645 report</t>
  </si>
  <si>
    <t>ASD</t>
  </si>
  <si>
    <t xml:space="preserve"> [lbs]</t>
  </si>
  <si>
    <t>Format conversion factor</t>
  </si>
  <si>
    <t>Resistance factor</t>
  </si>
  <si>
    <t>Time effect factor</t>
  </si>
  <si>
    <t>C total ASD combin</t>
  </si>
  <si>
    <t>C total ASD manual</t>
  </si>
  <si>
    <t>[kN/m]</t>
  </si>
  <si>
    <t>predrill diameter</t>
  </si>
  <si>
    <t>1. DESIGN INFORMATION AND PRODUCT SELECTION</t>
  </si>
  <si>
    <t>Snow Load (S)</t>
  </si>
  <si>
    <t>Roof Live Load (Lr)</t>
  </si>
  <si>
    <t>Live Load (L)</t>
  </si>
  <si>
    <t>Superimposed Dead Load (D)</t>
  </si>
  <si>
    <t>Beam is assumed to be uniformly loaded and simply supported</t>
  </si>
  <si>
    <t>Secondary Beam/Joist</t>
  </si>
  <si>
    <t>Specific Gravity, G</t>
  </si>
  <si>
    <t>Allowable Stress Design (ASD)</t>
  </si>
  <si>
    <t>Load Resistance Factor Design (LRFD)</t>
  </si>
  <si>
    <t>ASD Load Combinations</t>
  </si>
  <si>
    <t>1.4D</t>
  </si>
  <si>
    <t>1.2D+1.6L+0.5S</t>
  </si>
  <si>
    <t>1.2D+1.6L+0.5Lr</t>
  </si>
  <si>
    <t>1.2D+1.6S+L</t>
  </si>
  <si>
    <t>1.2D+1.6Lr+L</t>
  </si>
  <si>
    <t>LRFD Basic Loads and Load Combinations</t>
  </si>
  <si>
    <t>L</t>
  </si>
  <si>
    <t>S</t>
  </si>
  <si>
    <t>Lr</t>
  </si>
  <si>
    <t>λ</t>
  </si>
  <si>
    <t>LOAD/λ</t>
  </si>
  <si>
    <t>ASD Factored Design Reaction [R]</t>
  </si>
  <si>
    <t>LRFD Factored Design Reaction [R]</t>
  </si>
  <si>
    <t>ETA predrilling requirements</t>
  </si>
  <si>
    <t>420 kg/m^3 = DF/L (G=0.49)</t>
  </si>
  <si>
    <t>6005A T6 Aluminum</t>
  </si>
  <si>
    <t>1.2 Wood Design Information</t>
  </si>
  <si>
    <t>n total screws</t>
  </si>
  <si>
    <t>width, b</t>
  </si>
  <si>
    <t>height, h</t>
  </si>
  <si>
    <t>LOCKT35100+35100</t>
  </si>
  <si>
    <t>LOCKT35120+35120</t>
  </si>
  <si>
    <t>LOCKT35120+53120</t>
  </si>
  <si>
    <t>LOCKT50135+50135</t>
  </si>
  <si>
    <t>LOCKT50175+50175</t>
  </si>
  <si>
    <t>LOCKT50175+75175</t>
  </si>
  <si>
    <t>LOCKT75215+75215</t>
  </si>
  <si>
    <t>LOCKT75215+100215</t>
  </si>
  <si>
    <t>no moduli</t>
  </si>
  <si>
    <t>SECONDARY BEAM FASTENER CALCULATIONS</t>
  </si>
  <si>
    <t>Root diameter, Dr</t>
  </si>
  <si>
    <t>Nominal diameter, D</t>
  </si>
  <si>
    <t>Bending Yield Strength, Fyb</t>
  </si>
  <si>
    <r>
      <t>N/mm</t>
    </r>
    <r>
      <rPr>
        <vertAlign val="superscript"/>
        <sz val="10"/>
        <color theme="1"/>
        <rFont val="Verdana"/>
        <family val="2"/>
      </rPr>
      <t>2</t>
    </r>
  </si>
  <si>
    <t>Reduction Term, Rd</t>
  </si>
  <si>
    <t>screw installed in end grain</t>
  </si>
  <si>
    <r>
      <t>Main Member Dowel Bearing Strength, F</t>
    </r>
    <r>
      <rPr>
        <b/>
        <vertAlign val="subscript"/>
        <sz val="10"/>
        <color theme="1"/>
        <rFont val="Verdana"/>
        <family val="2"/>
      </rPr>
      <t>em</t>
    </r>
  </si>
  <si>
    <t>Angle to Grain</t>
  </si>
  <si>
    <t>degrees</t>
  </si>
  <si>
    <r>
      <t>F</t>
    </r>
    <r>
      <rPr>
        <vertAlign val="subscript"/>
        <sz val="10"/>
        <color theme="1"/>
        <rFont val="Verdana"/>
        <family val="2"/>
      </rPr>
      <t>e</t>
    </r>
    <r>
      <rPr>
        <sz val="10"/>
        <color theme="1"/>
        <rFont val="Verdana"/>
        <family val="2"/>
      </rPr>
      <t xml:space="preserve"> (D&lt;1/4)</t>
    </r>
  </si>
  <si>
    <t>psi (D&lt;6,35 mm)</t>
  </si>
  <si>
    <r>
      <t>Side Member Dowel Bearing Strength, F</t>
    </r>
    <r>
      <rPr>
        <vertAlign val="subscript"/>
        <sz val="10"/>
        <color theme="1"/>
        <rFont val="Verdana"/>
        <family val="2"/>
      </rPr>
      <t>es</t>
    </r>
  </si>
  <si>
    <r>
      <t>Length in Main Member l</t>
    </r>
    <r>
      <rPr>
        <vertAlign val="subscript"/>
        <sz val="10"/>
        <color theme="1"/>
        <rFont val="Verdana"/>
        <family val="2"/>
      </rPr>
      <t>m</t>
    </r>
  </si>
  <si>
    <r>
      <t>Length in Side Member, l</t>
    </r>
    <r>
      <rPr>
        <b/>
        <vertAlign val="subscript"/>
        <sz val="10"/>
        <color theme="1"/>
        <rFont val="Verdana"/>
        <family val="2"/>
      </rPr>
      <t>s</t>
    </r>
  </si>
  <si>
    <t>screw is installed in end grain</t>
  </si>
  <si>
    <t>3.2 ASD ADJUSTED DESIGN VALUES OF THE CONNECTION OF ALL FASTENERS</t>
  </si>
  <si>
    <t>Manually input time effect factor</t>
  </si>
  <si>
    <t>C total LRFD manual</t>
  </si>
  <si>
    <t>C total LRFD combin</t>
  </si>
  <si>
    <t>MAIN BEAM/COLUMN FASTENER CALCULATIONS</t>
  </si>
  <si>
    <t>Main Member</t>
  </si>
  <si>
    <t>Tip length is taken from ICC report or 2*D when not in the ICC report</t>
  </si>
  <si>
    <t>Screw</t>
  </si>
  <si>
    <t>Number of identical modules</t>
  </si>
  <si>
    <t>Applied Tension Load on Top Most Screw</t>
  </si>
  <si>
    <t>lb</t>
  </si>
  <si>
    <t>ASD Fax,ed</t>
  </si>
  <si>
    <t>LRFD Fax,ed</t>
  </si>
  <si>
    <t>Applied Shear Load per Screw</t>
  </si>
  <si>
    <t>ASD Fv,ed</t>
  </si>
  <si>
    <t>LRFD Fv,ed</t>
  </si>
  <si>
    <t>Resultant load</t>
  </si>
  <si>
    <t>ASD R_alpha</t>
  </si>
  <si>
    <t>LRFD R_alpha</t>
  </si>
  <si>
    <t>alpha deg</t>
  </si>
  <si>
    <t>W</t>
  </si>
  <si>
    <t>lb/in</t>
  </si>
  <si>
    <t>Screw Type</t>
  </si>
  <si>
    <t>excludes length of tip</t>
  </si>
  <si>
    <t>includes length of tip/2</t>
  </si>
  <si>
    <t>Wp</t>
  </si>
  <si>
    <t>NDS Eqn. 11.4-1</t>
  </si>
  <si>
    <t>Main Member Wood Species</t>
  </si>
  <si>
    <t>Secondary Beam Span</t>
  </si>
  <si>
    <t>Secondary Member Wood Species</t>
  </si>
  <si>
    <t>Density (pcf)</t>
  </si>
  <si>
    <t>Secondary Member Self Weight</t>
  </si>
  <si>
    <t>Secondary Beam Spacing (O.C.)</t>
  </si>
  <si>
    <t>Main Member Screw Selection</t>
  </si>
  <si>
    <t>Nominal Screw Diameter, D</t>
  </si>
  <si>
    <t>Total Screw Length, L</t>
  </si>
  <si>
    <t>Root Diameter, Dr</t>
  </si>
  <si>
    <t>Material</t>
  </si>
  <si>
    <t>Secondary Member Screw Selection</t>
  </si>
  <si>
    <t>Secondary Member</t>
  </si>
  <si>
    <t>Reference Withdrawal Design Value</t>
  </si>
  <si>
    <t>Single Shear [kN]</t>
  </si>
  <si>
    <t>Yield Mode</t>
  </si>
  <si>
    <t>ICC-ESR Reference Withdrawal (lbf/in)</t>
  </si>
  <si>
    <t>ICC-ES Certified?</t>
  </si>
  <si>
    <t>ICC-ES Value?</t>
  </si>
  <si>
    <t>ICC Value or NDS Eqn. 11.2-2 for small diameter</t>
  </si>
  <si>
    <t>Value Lookup Position</t>
  </si>
  <si>
    <t>ETA vertical capacity</t>
  </si>
  <si>
    <t>NDS individual screw Utilization</t>
  </si>
  <si>
    <t>NDS vertical capacity</t>
  </si>
  <si>
    <t>NDS bracket utilization</t>
  </si>
  <si>
    <t>ETA bracket Utilization</t>
  </si>
  <si>
    <t>Withdrawal Capcity per Screw</t>
  </si>
  <si>
    <t>ASD Reference Z_alpha</t>
  </si>
  <si>
    <t>Combined Tension and Shear Capacity (per screw)</t>
  </si>
  <si>
    <t>Total Vertical Capacity of Connector</t>
  </si>
  <si>
    <t>Governing Load Combination</t>
  </si>
  <si>
    <t>Time Effect Factor λ</t>
  </si>
  <si>
    <t>[lbf]</t>
  </si>
  <si>
    <t>ASD Factored Beam Design Load</t>
  </si>
  <si>
    <t>LRFD Factored Beam Design Load</t>
  </si>
  <si>
    <t>Plate Design Thickness, t</t>
  </si>
  <si>
    <t>Screw Hole Diameter</t>
  </si>
  <si>
    <t>Connector Width, B</t>
  </si>
  <si>
    <t>Connector Height, H</t>
  </si>
  <si>
    <t>1.1 Unfactored Design Loads (simply supported beam with uniformly distribuited load)</t>
  </si>
  <si>
    <r>
      <t>Member Width, B</t>
    </r>
    <r>
      <rPr>
        <vertAlign val="subscript"/>
        <sz val="10"/>
        <color theme="1"/>
        <rFont val="Verdana"/>
        <family val="2"/>
      </rPr>
      <t>H</t>
    </r>
  </si>
  <si>
    <r>
      <t>Member depth, H</t>
    </r>
    <r>
      <rPr>
        <vertAlign val="subscript"/>
        <sz val="10"/>
        <color theme="1"/>
        <rFont val="Verdana"/>
        <family val="2"/>
      </rPr>
      <t>H</t>
    </r>
  </si>
  <si>
    <t>minumum bxh based on connector selection</t>
  </si>
  <si>
    <t>Intaglio trave secondaria</t>
  </si>
  <si>
    <t>LOCK STOP</t>
  </si>
  <si>
    <t>Viti inclinate</t>
  </si>
  <si>
    <t>conservative - plate thickness varies over height of the plate and by model number</t>
  </si>
  <si>
    <t>2. SINGLE SCREW CAPACITY</t>
  </si>
  <si>
    <t>2.1 Main Member</t>
  </si>
  <si>
    <t xml:space="preserve">Reference Lateral Design Value [screw installed perpendicular to grain] </t>
  </si>
  <si>
    <t>[lbf/in]</t>
  </si>
  <si>
    <t>Single Shear [lbf]</t>
  </si>
  <si>
    <t>[N/mm]</t>
  </si>
  <si>
    <t>Reference angle between the wood surface and direction of applied load (degrees)</t>
  </si>
  <si>
    <t xml:space="preserve">Reference Lateral Design Value [screw installed in end grain] </t>
  </si>
  <si>
    <t>Single shear [lbf]</t>
  </si>
  <si>
    <t>Z includes the end grain factor Ceg=0.67</t>
  </si>
  <si>
    <t>2.2 Secondary Member</t>
  </si>
  <si>
    <t>3. HANGER CAPACITY AND DESIGN VERIFICATION</t>
  </si>
  <si>
    <t xml:space="preserve"> [lbf]</t>
  </si>
  <si>
    <t>Hanger</t>
  </si>
  <si>
    <t>No. of Scews</t>
  </si>
  <si>
    <t>Reference Capacity</t>
  </si>
  <si>
    <t>Beam with routing</t>
  </si>
  <si>
    <t>Column without routing</t>
  </si>
  <si>
    <t>Beam without routing</t>
  </si>
  <si>
    <t>Column with routing</t>
  </si>
  <si>
    <t>1.2 a) Load Combinations and Factored Design Load</t>
  </si>
  <si>
    <t>Minimum 1000 pieces?</t>
  </si>
  <si>
    <t>Hole 6,2mm</t>
  </si>
  <si>
    <t>Hole 7,7mm</t>
  </si>
  <si>
    <t>Combined Lateral and Withdrawal Capacity</t>
  </si>
  <si>
    <t>1.3 Hanger and Screw Selection</t>
  </si>
  <si>
    <t>EVO COATING?</t>
  </si>
  <si>
    <t>Version with C4 EVO Coating?</t>
  </si>
  <si>
    <t>NO</t>
  </si>
  <si>
    <t>YES</t>
  </si>
  <si>
    <t>Hanger code</t>
  </si>
  <si>
    <t>LOCKTEVO1880</t>
  </si>
  <si>
    <t>LOCKTEVO35100</t>
  </si>
  <si>
    <t>LOCKTEVO53120</t>
  </si>
  <si>
    <t>LOCKTEVO50135</t>
  </si>
  <si>
    <t>LOCKTEVO75175</t>
  </si>
  <si>
    <t>LOCKTEVO35120</t>
  </si>
  <si>
    <t>LOCKTEVO50175</t>
  </si>
  <si>
    <t>LOCKTEVO75215</t>
  </si>
  <si>
    <t>LOCKTEV100215</t>
  </si>
  <si>
    <t>LOCKTEV125290*</t>
  </si>
  <si>
    <t>LOCKTEV100290*</t>
  </si>
  <si>
    <t>LOCKTEV75290*</t>
  </si>
  <si>
    <t>LOCKTEV125265*</t>
  </si>
  <si>
    <t>LOCKTEV100265*</t>
  </si>
  <si>
    <t>LOCKTEV75265*</t>
  </si>
  <si>
    <t>LOCKTEV125240*</t>
  </si>
  <si>
    <t>LOCKTEV100240*</t>
  </si>
  <si>
    <t>LOCKTEV75240*</t>
  </si>
  <si>
    <t>LOCKTEVO3580</t>
  </si>
  <si>
    <t>ICC predrilling requirements</t>
  </si>
  <si>
    <t>G &gt; 0.55</t>
  </si>
  <si>
    <t>Calculation Comparision</t>
  </si>
  <si>
    <t>Connector Thickness, s</t>
  </si>
  <si>
    <t>Hanger BxH</t>
  </si>
  <si>
    <t>Minumum bxh based on connector</t>
  </si>
  <si>
    <t>Predrill screw on main member?</t>
  </si>
  <si>
    <t>Predrill screws on secondary member?</t>
  </si>
  <si>
    <t>● Minimum member size may be reduced when holes are predrilled</t>
  </si>
  <si>
    <t>LOCKTEVO35120 + LOCKTEVO53120</t>
  </si>
  <si>
    <t>LOCKTEVO50175 + LOCKTEVO75175</t>
  </si>
  <si>
    <t>LOCKTEVO75215 + LOCKTEV100215</t>
  </si>
  <si>
    <t>FOR CODE NAMES</t>
  </si>
  <si>
    <t>NORMAL</t>
  </si>
  <si>
    <t>EVO</t>
  </si>
  <si>
    <t>LOCK T MINI</t>
  </si>
  <si>
    <t>LOCK T MIDI</t>
  </si>
  <si>
    <t>HBSPEVO</t>
  </si>
  <si>
    <t>screw</t>
  </si>
  <si>
    <t>LOCKT35100 + LOCKT35100</t>
  </si>
  <si>
    <t>LOCKT35120 + LOCKT35120</t>
  </si>
  <si>
    <t>LOCKT35120 + LOCKT53120</t>
  </si>
  <si>
    <t>LOCKT50135 + LOCKT50135</t>
  </si>
  <si>
    <t>LOCKT50175 + LOCKT50175</t>
  </si>
  <si>
    <t>LOCKT50175 + LOCKT75175</t>
  </si>
  <si>
    <t>LOCKT75215 + LOCKT75215</t>
  </si>
  <si>
    <t>LOCKT75215 + LOCKT100215</t>
  </si>
  <si>
    <t>Alternatively, manually define the factored load in Section 1.2 b)</t>
  </si>
  <si>
    <t>BEAM IMG BLANK</t>
  </si>
  <si>
    <t>BEAM</t>
  </si>
  <si>
    <t>NO BEAM</t>
  </si>
  <si>
    <t>Secondary beam Span and Spacing only considered when loads are defined in this section</t>
  </si>
  <si>
    <t>ALUMINUM CAPACITY</t>
  </si>
  <si>
    <t>ALUMINUM RESISTANCE</t>
  </si>
  <si>
    <t>ASD (lbf)</t>
  </si>
  <si>
    <t>LRFD (lbf)</t>
  </si>
  <si>
    <t>LOCK-T NDS CALCULATOR version 1.20</t>
  </si>
  <si>
    <t xml:space="preserve">STRUCTURAL DESIGN OF LOCK-T MINI AND MIDI CONCEALED BEAM CONNECTORS </t>
  </si>
  <si>
    <t>Downward resistance according to the National Design Specification (NDS) for Wood Construction and USA design standards</t>
  </si>
  <si>
    <t>1.2 b) Manual Load Entry (load on a single hanger)</t>
  </si>
  <si>
    <t>ASD Factored Design Reaction Considered for Design Verification:</t>
  </si>
  <si>
    <t>LRFD Factored Design Reaction Considered for Design Verification:</t>
  </si>
  <si>
    <t>Main Member Type</t>
  </si>
  <si>
    <t>Connectors with EVO coating can be used outdoors in service class 3 conditions</t>
  </si>
  <si>
    <t>3.1 Adjustment Factors - applied to both screws installed in the primary and secondary members</t>
  </si>
  <si>
    <t>SECONDARY MEMBER FASTENER CAPACITY</t>
  </si>
  <si>
    <t>MAIN MEMBER FASTENER CAPACITY</t>
  </si>
  <si>
    <t>3.3 LRFD ADJUSTED DESIGN VALUES</t>
  </si>
  <si>
    <t>4. DESIGN SUMMARY AND TAKEOFF</t>
  </si>
  <si>
    <t>GENERAL NOTES:</t>
  </si>
  <si>
    <t>1. The information and calculations provided in this excel tool are intended to be used for general purposes. Rothoblaas aims to keep all information current and complete but can not make warranties or assume liability through the use of this tool.</t>
  </si>
  <si>
    <t>2. Rothoblaas reserves the right to update or change calculations methods, designs, or models without notice or liability. Visit www.rothoblaas.com for the most up to date design resources.</t>
  </si>
  <si>
    <t>3. All images are provided for reference only and actual conditions may vary on site.</t>
  </si>
  <si>
    <t>4. Additional design and installation information for LOCK T connectors can be downloaded at www.rothoblaas.com. All fasteners and connectors must be installed according to Rothoblaas requirements.</t>
  </si>
  <si>
    <t>NOTES TO THE DESIGNER:</t>
  </si>
  <si>
    <t>1. The design methodology used for calculation is according to European Technical Assessment ETA-19/0831 and supporting expert reports.</t>
  </si>
  <si>
    <t>2. ASD and LRFD capacities for screws have been derived according to the 2018 National Design Specification (NDS) for Wood Construction Chapter 12 and ICC-ES Evaluation Report ESR-4645. The designer shall apply all applicable adjustment factors.</t>
  </si>
  <si>
    <t>3. ASD and LRFD capacities for aluminum plates have been derived from ETA-19/0831, laboratory test data, ASTM D7147, and the Aluminum Design Manual. Additional adjustment factors are not required.</t>
  </si>
  <si>
    <t>4. Governing ASD and LRFD capacities represent the maximum downward load that may be resisted by a connector and is the smaller of screw resistance and aluminum resistance. The upward (uplift), lateral, axial or a combination of these resistances must be evaluated independently.</t>
  </si>
  <si>
    <t>5. Screw resistances are based on a full fastening pattern with all holes of the connector filled. Partial fastening patterns are possible but require special considerations.</t>
  </si>
  <si>
    <t>6. It is the responsibility of the designer to understand and verify the calculation method and design approach.</t>
  </si>
  <si>
    <t>7. ASD and LRFD connector resistances may exceed the capacity of supporting or supported wood members. It is the responsibility of the engineer or specifying designer to verify wood members for shear strength, splitting, and other wood failure modes. Tension forces perpendicular to the grain can arise from the placement of the connector and fully threaded reinforcing screws may be required.</t>
  </si>
  <si>
    <t>8. Minimum member sizes are based on minimum distances from European Technical Assessment ETA-11/0030. The specifying designer shall confirm minimum dimensional requirements are met for installation.</t>
  </si>
  <si>
    <t>9. Moisture content for all timber species is assumed to be 19% for the estimation of self-weight.</t>
  </si>
  <si>
    <t>10. Screws must have a minimum penetration depth of 6 times the outside thread diameter (6d) according to ESR-4645.</t>
  </si>
  <si>
    <t>Code</t>
  </si>
  <si>
    <t>Quantity required</t>
  </si>
  <si>
    <t>Fastening screws main element</t>
  </si>
  <si>
    <t>Fastening screws secondary beam</t>
  </si>
  <si>
    <t>Pcs per box</t>
  </si>
  <si>
    <t>n°</t>
  </si>
  <si>
    <t>Number of LOCK connections</t>
  </si>
  <si>
    <t>Screw Code</t>
  </si>
  <si>
    <t>No. of Screws of secondary side</t>
  </si>
  <si>
    <r>
      <t>[kN/m</t>
    </r>
    <r>
      <rPr>
        <vertAlign val="superscript"/>
        <sz val="11"/>
        <color theme="1"/>
        <rFont val="Verdana"/>
        <family val="2"/>
      </rPr>
      <t>2</t>
    </r>
    <r>
      <rPr>
        <sz val="11"/>
        <color theme="1"/>
        <rFont val="Verdana"/>
        <family val="2"/>
      </rPr>
      <t>]</t>
    </r>
  </si>
  <si>
    <r>
      <t>Load Duration Factor C</t>
    </r>
    <r>
      <rPr>
        <vertAlign val="subscript"/>
        <sz val="11"/>
        <color theme="1"/>
        <rFont val="Verdana"/>
        <family val="2"/>
      </rPr>
      <t>D</t>
    </r>
  </si>
  <si>
    <t>Member Width, bj</t>
  </si>
  <si>
    <t>Member Depth, hj</t>
  </si>
  <si>
    <r>
      <t>[N/mm</t>
    </r>
    <r>
      <rPr>
        <vertAlign val="superscript"/>
        <sz val="11"/>
        <color theme="1"/>
        <rFont val="Verdana"/>
        <family val="2"/>
      </rPr>
      <t>2</t>
    </r>
    <r>
      <rPr>
        <sz val="11"/>
        <color theme="1"/>
        <rFont val="Verdana"/>
        <family val="2"/>
      </rPr>
      <t>]</t>
    </r>
  </si>
  <si>
    <r>
      <t>Bending Yield Strength, f</t>
    </r>
    <r>
      <rPr>
        <vertAlign val="subscript"/>
        <sz val="11"/>
        <color theme="1"/>
        <rFont val="Verdana"/>
        <family val="2"/>
      </rPr>
      <t>yb</t>
    </r>
  </si>
  <si>
    <r>
      <t>I</t>
    </r>
    <r>
      <rPr>
        <b/>
        <vertAlign val="subscript"/>
        <sz val="11"/>
        <color theme="1"/>
        <rFont val="Verdana"/>
        <family val="2"/>
      </rPr>
      <t>m</t>
    </r>
  </si>
  <si>
    <r>
      <t>I</t>
    </r>
    <r>
      <rPr>
        <b/>
        <vertAlign val="subscript"/>
        <sz val="11"/>
        <color theme="1"/>
        <rFont val="Verdana"/>
        <family val="2"/>
      </rPr>
      <t>s</t>
    </r>
  </si>
  <si>
    <r>
      <t>III</t>
    </r>
    <r>
      <rPr>
        <b/>
        <vertAlign val="subscript"/>
        <sz val="11"/>
        <color theme="1"/>
        <rFont val="Verdana"/>
        <family val="2"/>
      </rPr>
      <t>m</t>
    </r>
  </si>
  <si>
    <r>
      <t>III</t>
    </r>
    <r>
      <rPr>
        <b/>
        <vertAlign val="subscript"/>
        <sz val="11"/>
        <color theme="1"/>
        <rFont val="Verdana"/>
        <family val="2"/>
      </rPr>
      <t>s</t>
    </r>
  </si>
  <si>
    <r>
      <t>Z</t>
    </r>
    <r>
      <rPr>
        <b/>
        <vertAlign val="subscript"/>
        <sz val="11"/>
        <color theme="1"/>
        <rFont val="Verdana"/>
        <family val="2"/>
      </rPr>
      <t>min</t>
    </r>
  </si>
  <si>
    <r>
      <t>Z</t>
    </r>
    <r>
      <rPr>
        <b/>
        <vertAlign val="subscript"/>
        <sz val="11"/>
        <color theme="1"/>
        <rFont val="Verdana"/>
        <family val="2"/>
      </rPr>
      <t>α</t>
    </r>
  </si>
  <si>
    <r>
      <t>III</t>
    </r>
    <r>
      <rPr>
        <vertAlign val="subscript"/>
        <sz val="11"/>
        <color theme="1"/>
        <rFont val="Verdana"/>
        <family val="2"/>
      </rPr>
      <t>m</t>
    </r>
  </si>
  <si>
    <r>
      <t>λ</t>
    </r>
    <r>
      <rPr>
        <b/>
        <sz val="11"/>
        <color theme="1"/>
        <rFont val="Calibri"/>
        <family val="2"/>
        <scheme val="minor"/>
      </rPr>
      <t>=</t>
    </r>
  </si>
  <si>
    <r>
      <t>Φ</t>
    </r>
    <r>
      <rPr>
        <b/>
        <sz val="11"/>
        <color theme="1"/>
        <rFont val="Calibri"/>
        <family val="2"/>
        <scheme val="minor"/>
      </rPr>
      <t>=</t>
    </r>
  </si>
  <si>
    <t>Couple of hidden fastener</t>
  </si>
  <si>
    <t>pcs per box</t>
  </si>
  <si>
    <t>50 couples</t>
  </si>
  <si>
    <t>25 couples</t>
  </si>
  <si>
    <t>18 couples</t>
  </si>
  <si>
    <t>12 couples</t>
  </si>
  <si>
    <t>8 couples</t>
  </si>
  <si>
    <t>20 couples</t>
  </si>
  <si>
    <t>10 couples</t>
  </si>
  <si>
    <t>25 and 25 couples</t>
  </si>
  <si>
    <t>18 and 18 couples</t>
  </si>
  <si>
    <t>18 and 12 couples</t>
  </si>
  <si>
    <t>12 and 12 couples</t>
  </si>
  <si>
    <t>12 and 8 couples</t>
  </si>
  <si>
    <t>LOCK T 75x175</t>
  </si>
  <si>
    <r>
      <t>Single shear [lb</t>
    </r>
    <r>
      <rPr>
        <b/>
        <vertAlign val="subscript"/>
        <sz val="11"/>
        <color theme="1"/>
        <rFont val="Verdana"/>
        <family val="2"/>
      </rPr>
      <t>f</t>
    </r>
    <r>
      <rPr>
        <b/>
        <sz val="11"/>
        <color theme="1"/>
        <rFont val="Verdana"/>
        <family val="2"/>
      </rPr>
      <t>]</t>
    </r>
  </si>
  <si>
    <r>
      <t>Double shear [lb</t>
    </r>
    <r>
      <rPr>
        <b/>
        <vertAlign val="subscript"/>
        <sz val="11"/>
        <color theme="1"/>
        <rFont val="Verdana"/>
        <family val="2"/>
      </rPr>
      <t>f</t>
    </r>
    <r>
      <rPr>
        <b/>
        <sz val="11"/>
        <color theme="1"/>
        <rFont val="Verdana"/>
        <family val="2"/>
      </rPr>
      <t>]</t>
    </r>
  </si>
  <si>
    <r>
      <t>I</t>
    </r>
    <r>
      <rPr>
        <vertAlign val="subscript"/>
        <sz val="12"/>
        <color theme="1"/>
        <rFont val="Verdana"/>
        <family val="2"/>
      </rPr>
      <t>m</t>
    </r>
  </si>
  <si>
    <r>
      <t>I</t>
    </r>
    <r>
      <rPr>
        <vertAlign val="subscript"/>
        <sz val="12"/>
        <color theme="1"/>
        <rFont val="Verdana"/>
        <family val="2"/>
      </rPr>
      <t>s</t>
    </r>
  </si>
  <si>
    <r>
      <t>III</t>
    </r>
    <r>
      <rPr>
        <vertAlign val="subscript"/>
        <sz val="12"/>
        <color theme="1"/>
        <rFont val="Verdana"/>
        <family val="2"/>
      </rPr>
      <t>m</t>
    </r>
  </si>
  <si>
    <r>
      <t>III</t>
    </r>
    <r>
      <rPr>
        <vertAlign val="subscript"/>
        <sz val="12"/>
        <color theme="1"/>
        <rFont val="Verdana"/>
        <family val="2"/>
      </rPr>
      <t>s</t>
    </r>
  </si>
  <si>
    <t>LBS Ø 7 x 60</t>
  </si>
  <si>
    <t>11. If coupled connectors are used, special care must be taken in alignment during installation to avoid different stresses in the two connectors. The connector must always be fully fastened using all the holes. Fastening with partial nailing is not allowed. Screws with the same length must be used for each connector half.</t>
  </si>
  <si>
    <t>12. Rotho Blaas srl does not guarantee compliance with current legislation and the design of the calculations made through this spreadsheet. In particular, following the amendment of the pertinent provisions such as, for example standards, approvals, etc. the program may become, in part or in whole, invalid. Rotho Blaas srl does not guarantee and will not be responsible for direct or indirect damages or consequences or other, in any way (warranty for defects, warranty for malfunction, product or legal responsibility, etc.). The User declares to use the spreadsheet as a professional with the obligation and responsibility to verify that the spreadsheet meets his specific needs.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</si>
</sst>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00"/>
  </numFmts>
  <fonts count="57" x14ac:knownFonts="1">
    <font>
      <sz val="10"/>
      <color theme="1"/>
      <name val="Verdana"/>
      <family val="2"/>
    </font>
    <font>
      <b/>
      <sz val="10"/>
      <color theme="1"/>
      <name val="Verdana"/>
      <family val="2"/>
    </font>
    <font>
      <sz val="11"/>
      <color rgb="FF000000"/>
      <name val="Arial"/>
      <family val="2"/>
    </font>
    <font>
      <sz val="11"/>
      <name val="Arial"/>
      <family val="2"/>
    </font>
    <font>
      <sz val="11"/>
      <color rgb="FF000000"/>
      <name val="Calibri"/>
      <family val="2"/>
    </font>
    <font>
      <b/>
      <vertAlign val="subscript"/>
      <sz val="10"/>
      <color theme="1"/>
      <name val="Verdana"/>
      <family val="2"/>
    </font>
    <font>
      <vertAlign val="subscript"/>
      <sz val="10"/>
      <color theme="1"/>
      <name val="Verdana"/>
      <family val="2"/>
    </font>
    <font>
      <sz val="10"/>
      <name val="Verdana"/>
      <family val="2"/>
    </font>
    <font>
      <sz val="8"/>
      <name val="Verdana"/>
      <family val="2"/>
    </font>
    <font>
      <b/>
      <sz val="11"/>
      <color theme="1"/>
      <name val="Verdana"/>
      <family val="2"/>
    </font>
    <font>
      <sz val="8"/>
      <color theme="1"/>
      <name val="Verdana"/>
      <family val="2"/>
    </font>
    <font>
      <b/>
      <sz val="14"/>
      <name val="Verdana"/>
      <family val="2"/>
    </font>
    <font>
      <sz val="10"/>
      <color theme="1"/>
      <name val="Verdana"/>
      <family val="2"/>
    </font>
    <font>
      <sz val="10"/>
      <color rgb="FFFF0000"/>
      <name val="Verdana"/>
      <family val="2"/>
    </font>
    <font>
      <vertAlign val="superscript"/>
      <sz val="8"/>
      <color theme="1"/>
      <name val="Verdana"/>
      <family val="2"/>
    </font>
    <font>
      <b/>
      <sz val="10"/>
      <name val="Arial"/>
      <family val="2"/>
    </font>
    <font>
      <b/>
      <sz val="12"/>
      <color rgb="FF202122"/>
      <name val="Times New Roman"/>
      <family val="1"/>
    </font>
    <font>
      <sz val="9"/>
      <color theme="1"/>
      <name val="Verdana"/>
      <family val="2"/>
    </font>
    <font>
      <b/>
      <vertAlign val="subscript"/>
      <sz val="11"/>
      <color theme="1"/>
      <name val="Verdana"/>
      <family val="2"/>
    </font>
    <font>
      <sz val="14"/>
      <color theme="1"/>
      <name val="Verdana"/>
      <family val="2"/>
    </font>
    <font>
      <sz val="11"/>
      <color theme="1"/>
      <name val="Verdana"/>
      <family val="2"/>
    </font>
    <font>
      <sz val="11"/>
      <name val="Verdana"/>
      <family val="2"/>
    </font>
    <font>
      <sz val="11"/>
      <name val="Calibri"/>
      <family val="2"/>
      <scheme val="minor"/>
    </font>
    <font>
      <vertAlign val="subscript"/>
      <sz val="11"/>
      <name val="Calibri"/>
      <family val="2"/>
      <scheme val="minor"/>
    </font>
    <font>
      <sz val="11"/>
      <color theme="1"/>
      <name val="Calibri"/>
      <family val="2"/>
      <scheme val="minor"/>
    </font>
    <font>
      <b/>
      <sz val="11"/>
      <color theme="1"/>
      <name val="Calibri"/>
      <family val="2"/>
      <scheme val="minor"/>
    </font>
    <font>
      <b/>
      <sz val="12"/>
      <color theme="1"/>
      <name val="Verdana"/>
      <family val="2"/>
    </font>
    <font>
      <b/>
      <sz val="11"/>
      <color theme="7"/>
      <name val="Verdana"/>
      <family val="2"/>
    </font>
    <font>
      <sz val="10"/>
      <color theme="7"/>
      <name val="Verdana"/>
      <family val="2"/>
    </font>
    <font>
      <sz val="11"/>
      <color theme="7"/>
      <name val="Calibri"/>
      <family val="2"/>
      <scheme val="minor"/>
    </font>
    <font>
      <sz val="11"/>
      <color theme="7"/>
      <name val="Verdana"/>
      <family val="2"/>
    </font>
    <font>
      <b/>
      <sz val="11"/>
      <color theme="7"/>
      <name val="Calibri"/>
      <family val="2"/>
      <scheme val="minor"/>
    </font>
    <font>
      <b/>
      <sz val="11"/>
      <color theme="7"/>
      <name val="GreekS"/>
    </font>
    <font>
      <vertAlign val="superscript"/>
      <sz val="10"/>
      <color theme="1"/>
      <name val="Verdana"/>
      <family val="2"/>
    </font>
    <font>
      <b/>
      <sz val="11"/>
      <name val="Verdana"/>
      <family val="2"/>
    </font>
    <font>
      <b/>
      <sz val="10"/>
      <name val="Verdana"/>
      <family val="2"/>
    </font>
    <font>
      <i/>
      <sz val="11"/>
      <color theme="1"/>
      <name val="Verdana"/>
      <family val="2"/>
    </font>
    <font>
      <i/>
      <sz val="10"/>
      <color theme="1"/>
      <name val="Verdana"/>
      <family val="2"/>
    </font>
    <font>
      <u/>
      <sz val="10"/>
      <color theme="10"/>
      <name val="Verdana"/>
      <family val="2"/>
    </font>
    <font>
      <sz val="11"/>
      <color rgb="FF000000"/>
      <name val="Verdana"/>
      <family val="2"/>
    </font>
    <font>
      <vertAlign val="superscript"/>
      <sz val="11"/>
      <color theme="1"/>
      <name val="Verdana"/>
      <family val="2"/>
    </font>
    <font>
      <i/>
      <sz val="11"/>
      <color theme="1" tint="0.34998626667073579"/>
      <name val="Verdana"/>
      <family val="2"/>
    </font>
    <font>
      <vertAlign val="subscript"/>
      <sz val="11"/>
      <color theme="1"/>
      <name val="Verdana"/>
      <family val="2"/>
    </font>
    <font>
      <i/>
      <sz val="11"/>
      <color theme="2" tint="-0.499984740745262"/>
      <name val="Verdana"/>
      <family val="2"/>
    </font>
    <font>
      <sz val="11"/>
      <color rgb="FFFF0000"/>
      <name val="Verdana"/>
      <family val="2"/>
    </font>
    <font>
      <u/>
      <sz val="11"/>
      <color theme="10"/>
      <name val="Verdana"/>
      <family val="2"/>
    </font>
    <font>
      <b/>
      <sz val="11"/>
      <color rgb="FFFF0000"/>
      <name val="Verdana"/>
      <family val="2"/>
    </font>
    <font>
      <i/>
      <sz val="11"/>
      <name val="Verdana"/>
      <family val="2"/>
    </font>
    <font>
      <b/>
      <u/>
      <sz val="11"/>
      <color theme="1"/>
      <name val="Verdana"/>
      <family val="2"/>
    </font>
    <font>
      <b/>
      <sz val="11"/>
      <color theme="4"/>
      <name val="Verdana"/>
      <family val="2"/>
    </font>
    <font>
      <sz val="12"/>
      <color rgb="FF000000"/>
      <name val="Verdana"/>
      <family val="2"/>
    </font>
    <font>
      <sz val="10"/>
      <color theme="0"/>
      <name val="Verdana"/>
      <family val="2"/>
    </font>
    <font>
      <sz val="9"/>
      <name val="Verdana"/>
      <family val="2"/>
    </font>
    <font>
      <b/>
      <sz val="9"/>
      <color theme="1"/>
      <name val="Verdana"/>
      <family val="2"/>
    </font>
    <font>
      <sz val="12"/>
      <color theme="1"/>
      <name val="Verdana"/>
      <family val="2"/>
    </font>
    <font>
      <vertAlign val="subscript"/>
      <sz val="12"/>
      <color theme="1"/>
      <name val="Verdana"/>
      <family val="2"/>
    </font>
    <font>
      <i/>
      <sz val="10"/>
      <color theme="1" tint="0.499984740745262"/>
      <name val="Verdana"/>
      <family val="2"/>
    </font>
  </fonts>
  <fills count="12">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AEAEA"/>
        <bgColor indexed="64"/>
      </patternFill>
    </fill>
  </fills>
  <borders count="62">
    <border>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4"/>
      </top>
      <bottom style="thin">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theme="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theme="4"/>
      </left>
      <right/>
      <top style="medium">
        <color theme="4"/>
      </top>
      <bottom style="hair">
        <color theme="4"/>
      </bottom>
      <diagonal/>
    </border>
    <border>
      <left/>
      <right/>
      <top style="medium">
        <color theme="4"/>
      </top>
      <bottom style="hair">
        <color theme="4"/>
      </bottom>
      <diagonal/>
    </border>
    <border>
      <left/>
      <right style="medium">
        <color theme="4"/>
      </right>
      <top style="medium">
        <color theme="4"/>
      </top>
      <bottom style="hair">
        <color theme="4"/>
      </bottom>
      <diagonal/>
    </border>
    <border>
      <left style="medium">
        <color theme="4"/>
      </left>
      <right/>
      <top style="hair">
        <color theme="4"/>
      </top>
      <bottom style="hair">
        <color theme="4"/>
      </bottom>
      <diagonal/>
    </border>
    <border>
      <left/>
      <right/>
      <top style="hair">
        <color theme="4"/>
      </top>
      <bottom style="hair">
        <color theme="4"/>
      </bottom>
      <diagonal/>
    </border>
    <border>
      <left/>
      <right style="medium">
        <color theme="4"/>
      </right>
      <top style="hair">
        <color theme="4"/>
      </top>
      <bottom style="hair">
        <color theme="4"/>
      </bottom>
      <diagonal/>
    </border>
    <border>
      <left style="medium">
        <color theme="4"/>
      </left>
      <right/>
      <top/>
      <bottom style="hair">
        <color theme="4"/>
      </bottom>
      <diagonal/>
    </border>
    <border>
      <left/>
      <right/>
      <top/>
      <bottom style="hair">
        <color theme="4"/>
      </bottom>
      <diagonal/>
    </border>
    <border>
      <left style="medium">
        <color theme="4"/>
      </left>
      <right/>
      <top/>
      <bottom style="medium">
        <color theme="4"/>
      </bottom>
      <diagonal/>
    </border>
    <border>
      <left/>
      <right/>
      <top/>
      <bottom style="medium">
        <color theme="4"/>
      </bottom>
      <diagonal/>
    </border>
    <border>
      <left/>
      <right/>
      <top style="hair">
        <color theme="4"/>
      </top>
      <bottom style="medium">
        <color theme="4"/>
      </bottom>
      <diagonal/>
    </border>
    <border>
      <left style="medium">
        <color rgb="FF0070C0"/>
      </left>
      <right/>
      <top/>
      <bottom/>
      <diagonal/>
    </border>
  </borders>
  <cellStyleXfs count="3">
    <xf numFmtId="0" fontId="0" fillId="0" borderId="0"/>
    <xf numFmtId="9" fontId="12" fillId="0" borderId="0" applyFont="0" applyFill="0" applyBorder="0" applyAlignment="0" applyProtection="0"/>
    <xf numFmtId="0" fontId="38" fillId="0" borderId="0" applyNumberFormat="0" applyFill="0" applyBorder="0" applyAlignment="0" applyProtection="0"/>
  </cellStyleXfs>
  <cellXfs count="466">
    <xf numFmtId="0" fontId="0" fillId="0" borderId="0" xfId="0"/>
    <xf numFmtId="0" fontId="1" fillId="0" borderId="0" xfId="0" applyFont="1"/>
    <xf numFmtId="0" fontId="0" fillId="0" borderId="0" xfId="0" applyAlignment="1">
      <alignment horizontal="center"/>
    </xf>
    <xf numFmtId="0" fontId="1" fillId="0" borderId="0" xfId="0" applyFont="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2" fillId="2" borderId="10" xfId="0" applyFont="1" applyFill="1" applyBorder="1" applyAlignment="1">
      <alignment horizontal="center" vertical="center"/>
    </xf>
    <xf numFmtId="164" fontId="3" fillId="0" borderId="11" xfId="0" applyNumberFormat="1" applyFont="1" applyBorder="1" applyAlignment="1">
      <alignment horizontal="center" vertical="center"/>
    </xf>
    <xf numFmtId="0" fontId="0" fillId="0" borderId="10" xfId="0" applyBorder="1"/>
    <xf numFmtId="0" fontId="0" fillId="0" borderId="11" xfId="0" applyBorder="1"/>
    <xf numFmtId="0" fontId="1" fillId="0" borderId="10" xfId="0" applyFont="1" applyBorder="1" applyAlignment="1">
      <alignment horizontal="center"/>
    </xf>
    <xf numFmtId="0" fontId="1" fillId="0" borderId="11" xfId="0" applyFont="1" applyBorder="1" applyAlignment="1">
      <alignment horizontal="center"/>
    </xf>
    <xf numFmtId="0" fontId="2" fillId="2" borderId="12" xfId="0" applyFont="1" applyFill="1" applyBorder="1" applyAlignment="1">
      <alignment horizontal="center" vertical="center"/>
    </xf>
    <xf numFmtId="164" fontId="3" fillId="0" borderId="13" xfId="0" applyNumberFormat="1" applyFont="1" applyBorder="1" applyAlignment="1">
      <alignment horizontal="center" vertical="center"/>
    </xf>
    <xf numFmtId="0" fontId="0" fillId="0" borderId="14" xfId="0" applyBorder="1"/>
    <xf numFmtId="0" fontId="0" fillId="0" borderId="15" xfId="0" applyBorder="1"/>
    <xf numFmtId="2" fontId="0" fillId="0" borderId="0" xfId="0" applyNumberFormat="1" applyAlignment="1">
      <alignment horizontal="center"/>
    </xf>
    <xf numFmtId="2" fontId="0" fillId="0" borderId="7" xfId="0" applyNumberFormat="1" applyBorder="1" applyAlignment="1">
      <alignment horizontal="center"/>
    </xf>
    <xf numFmtId="0" fontId="1" fillId="3" borderId="7" xfId="0" applyFont="1" applyFill="1" applyBorder="1"/>
    <xf numFmtId="0" fontId="0" fillId="3" borderId="7" xfId="0" applyFill="1" applyBorder="1"/>
    <xf numFmtId="0" fontId="0" fillId="3" borderId="7" xfId="0" applyFill="1" applyBorder="1" applyAlignment="1">
      <alignment horizontal="center"/>
    </xf>
    <xf numFmtId="0" fontId="0" fillId="0" borderId="7" xfId="0" applyBorder="1" applyAlignment="1">
      <alignment horizontal="center"/>
    </xf>
    <xf numFmtId="0" fontId="0" fillId="6" borderId="0" xfId="0" applyFill="1"/>
    <xf numFmtId="14" fontId="0" fillId="0" borderId="0" xfId="0" applyNumberFormat="1" applyAlignment="1">
      <alignment horizontal="center"/>
    </xf>
    <xf numFmtId="0" fontId="0" fillId="0" borderId="7" xfId="0" applyBorder="1"/>
    <xf numFmtId="0" fontId="12" fillId="0" borderId="18" xfId="0" applyFont="1" applyBorder="1"/>
    <xf numFmtId="0" fontId="13" fillId="0" borderId="0" xfId="0" applyFont="1"/>
    <xf numFmtId="164" fontId="0" fillId="0" borderId="0" xfId="0" applyNumberFormat="1"/>
    <xf numFmtId="2" fontId="0" fillId="0" borderId="0" xfId="0" applyNumberFormat="1"/>
    <xf numFmtId="0" fontId="15" fillId="0" borderId="0" xfId="0" applyFont="1" applyAlignment="1">
      <alignment horizontal="center"/>
    </xf>
    <xf numFmtId="0" fontId="1" fillId="8" borderId="17" xfId="0" applyFont="1" applyFill="1" applyBorder="1" applyAlignment="1">
      <alignment horizontal="center"/>
    </xf>
    <xf numFmtId="0" fontId="1" fillId="8" borderId="18" xfId="0" applyFont="1" applyFill="1" applyBorder="1" applyAlignment="1">
      <alignment horizontal="center"/>
    </xf>
    <xf numFmtId="0" fontId="1" fillId="0" borderId="0" xfId="0" applyFont="1" applyAlignment="1">
      <alignment horizontal="right"/>
    </xf>
    <xf numFmtId="0" fontId="0" fillId="6" borderId="0" xfId="0" applyFill="1" applyProtection="1">
      <protection hidden="1"/>
    </xf>
    <xf numFmtId="0" fontId="7" fillId="6" borderId="0" xfId="0" applyFont="1" applyFill="1" applyProtection="1">
      <protection hidden="1"/>
    </xf>
    <xf numFmtId="0" fontId="7" fillId="4" borderId="0" xfId="0" applyFont="1" applyFill="1" applyProtection="1">
      <protection hidden="1"/>
    </xf>
    <xf numFmtId="0" fontId="0" fillId="4" borderId="0" xfId="0" applyFill="1" applyProtection="1">
      <protection hidden="1"/>
    </xf>
    <xf numFmtId="0" fontId="0" fillId="5" borderId="0" xfId="0" applyFill="1" applyProtection="1">
      <protection hidden="1"/>
    </xf>
    <xf numFmtId="0" fontId="0" fillId="0" borderId="0" xfId="0" applyProtection="1">
      <protection hidden="1"/>
    </xf>
    <xf numFmtId="0" fontId="9" fillId="6" borderId="0" xfId="0" applyFont="1" applyFill="1" applyProtection="1">
      <protection hidden="1"/>
    </xf>
    <xf numFmtId="2" fontId="0" fillId="6" borderId="0" xfId="0" applyNumberFormat="1" applyFill="1" applyAlignment="1" applyProtection="1">
      <alignment horizontal="center"/>
      <protection hidden="1"/>
    </xf>
    <xf numFmtId="0" fontId="10" fillId="6" borderId="0" xfId="0" applyFont="1" applyFill="1" applyProtection="1">
      <protection hidden="1"/>
    </xf>
    <xf numFmtId="0" fontId="17" fillId="0" borderId="7" xfId="0" applyFont="1" applyBorder="1"/>
    <xf numFmtId="165" fontId="0" fillId="0" borderId="0" xfId="0" applyNumberFormat="1"/>
    <xf numFmtId="2" fontId="1" fillId="0" borderId="0" xfId="0" applyNumberFormat="1" applyFont="1"/>
    <xf numFmtId="0" fontId="0" fillId="8" borderId="0" xfId="0" applyFill="1"/>
    <xf numFmtId="0" fontId="1" fillId="0" borderId="0" xfId="0" applyFont="1" applyProtection="1">
      <protection hidden="1"/>
    </xf>
    <xf numFmtId="0" fontId="1" fillId="6" borderId="0" xfId="0" applyFont="1" applyFill="1" applyAlignment="1" applyProtection="1">
      <alignment horizontal="left"/>
      <protection hidden="1"/>
    </xf>
    <xf numFmtId="0" fontId="9" fillId="6" borderId="0" xfId="0" applyFont="1" applyFill="1" applyAlignment="1" applyProtection="1">
      <alignment horizontal="center"/>
      <protection hidden="1"/>
    </xf>
    <xf numFmtId="0" fontId="9" fillId="6" borderId="0" xfId="0" applyFont="1" applyFill="1" applyAlignment="1" applyProtection="1">
      <alignment horizontal="right"/>
      <protection hidden="1"/>
    </xf>
    <xf numFmtId="166" fontId="0" fillId="0" borderId="0" xfId="0" applyNumberFormat="1"/>
    <xf numFmtId="0" fontId="1" fillId="3" borderId="7" xfId="0" applyFont="1" applyFill="1" applyBorder="1" applyAlignment="1">
      <alignment horizontal="left"/>
    </xf>
    <xf numFmtId="0" fontId="20" fillId="6" borderId="31"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32" xfId="0" applyFont="1" applyFill="1" applyBorder="1" applyAlignment="1">
      <alignment horizontal="center" vertical="center" wrapText="1"/>
    </xf>
    <xf numFmtId="0" fontId="20" fillId="6" borderId="35" xfId="0" applyFont="1" applyFill="1" applyBorder="1" applyAlignment="1">
      <alignment horizontal="center" vertical="center"/>
    </xf>
    <xf numFmtId="0" fontId="20" fillId="6" borderId="27" xfId="0" applyFont="1" applyFill="1" applyBorder="1" applyAlignment="1">
      <alignment horizontal="center" vertical="center" wrapText="1"/>
    </xf>
    <xf numFmtId="0" fontId="20" fillId="6" borderId="35" xfId="0" applyFont="1" applyFill="1" applyBorder="1" applyAlignment="1">
      <alignment horizontal="center" vertical="center" wrapText="1"/>
    </xf>
    <xf numFmtId="0" fontId="20" fillId="6" borderId="36" xfId="0" applyFont="1" applyFill="1" applyBorder="1" applyAlignment="1">
      <alignment horizontal="center" vertical="center"/>
    </xf>
    <xf numFmtId="0" fontId="0" fillId="6" borderId="2" xfId="0" applyFill="1" applyBorder="1" applyAlignment="1">
      <alignment horizontal="center" vertical="center"/>
    </xf>
    <xf numFmtId="0" fontId="0" fillId="6" borderId="29" xfId="0" applyFill="1" applyBorder="1" applyAlignment="1">
      <alignment horizontal="left" vertical="center"/>
    </xf>
    <xf numFmtId="0" fontId="0" fillId="6" borderId="12" xfId="0" applyFill="1" applyBorder="1" applyAlignment="1">
      <alignment horizontal="center" vertical="center"/>
    </xf>
    <xf numFmtId="0" fontId="0" fillId="6" borderId="19" xfId="0" applyFill="1" applyBorder="1" applyAlignment="1">
      <alignment horizontal="center" vertical="center"/>
    </xf>
    <xf numFmtId="0" fontId="0" fillId="6" borderId="29" xfId="0" applyFill="1" applyBorder="1" applyAlignment="1">
      <alignment horizontal="center" vertical="center"/>
    </xf>
    <xf numFmtId="0" fontId="0" fillId="6" borderId="4" xfId="0" applyFill="1" applyBorder="1" applyAlignment="1">
      <alignment horizontal="center" vertical="center"/>
    </xf>
    <xf numFmtId="0" fontId="0" fillId="6" borderId="7" xfId="0" applyFill="1" applyBorder="1" applyAlignment="1">
      <alignment horizontal="left" vertical="center"/>
    </xf>
    <xf numFmtId="0" fontId="0" fillId="6" borderId="14" xfId="0" applyFill="1" applyBorder="1" applyAlignment="1">
      <alignment horizontal="center" vertical="center"/>
    </xf>
    <xf numFmtId="0" fontId="0" fillId="6" borderId="18" xfId="0" applyFill="1" applyBorder="1" applyAlignment="1">
      <alignment horizontal="center" vertical="center"/>
    </xf>
    <xf numFmtId="0" fontId="0" fillId="6" borderId="7" xfId="0" applyFill="1" applyBorder="1" applyAlignment="1">
      <alignment horizontal="center" vertical="center"/>
    </xf>
    <xf numFmtId="0" fontId="0" fillId="6" borderId="1" xfId="0" applyFill="1" applyBorder="1" applyAlignment="1">
      <alignment horizontal="center" vertical="center"/>
    </xf>
    <xf numFmtId="0" fontId="0" fillId="6" borderId="35" xfId="0" applyFill="1" applyBorder="1" applyAlignment="1">
      <alignment horizontal="left" vertical="center"/>
    </xf>
    <xf numFmtId="0" fontId="0" fillId="6" borderId="37" xfId="0" applyFill="1" applyBorder="1" applyAlignment="1">
      <alignment horizontal="center" vertical="center"/>
    </xf>
    <xf numFmtId="0" fontId="0" fillId="6" borderId="38" xfId="0" applyFill="1" applyBorder="1" applyAlignment="1">
      <alignment horizontal="center" vertical="center"/>
    </xf>
    <xf numFmtId="0" fontId="0" fillId="6" borderId="35" xfId="0" applyFill="1" applyBorder="1" applyAlignment="1">
      <alignment horizontal="center" vertical="center"/>
    </xf>
    <xf numFmtId="0" fontId="0" fillId="6" borderId="39" xfId="0" applyFill="1" applyBorder="1" applyAlignment="1">
      <alignment horizontal="center" vertical="center"/>
    </xf>
    <xf numFmtId="0" fontId="0" fillId="6" borderId="31" xfId="0" applyFill="1" applyBorder="1" applyAlignment="1">
      <alignment horizontal="left" vertical="center"/>
    </xf>
    <xf numFmtId="0" fontId="0" fillId="6" borderId="40" xfId="0" applyFill="1" applyBorder="1" applyAlignment="1">
      <alignment horizontal="center" vertical="center"/>
    </xf>
    <xf numFmtId="0" fontId="0" fillId="6" borderId="41" xfId="0" applyFill="1" applyBorder="1" applyAlignment="1">
      <alignment horizontal="center" vertical="center"/>
    </xf>
    <xf numFmtId="0" fontId="0" fillId="6" borderId="31" xfId="0" applyFill="1" applyBorder="1" applyAlignment="1">
      <alignment horizontal="center" vertical="center"/>
    </xf>
    <xf numFmtId="164" fontId="0" fillId="6" borderId="35" xfId="0" applyNumberFormat="1" applyFill="1" applyBorder="1" applyAlignment="1">
      <alignment horizontal="center" vertical="center"/>
    </xf>
    <xf numFmtId="2" fontId="0" fillId="6" borderId="29" xfId="0" applyNumberFormat="1" applyFill="1" applyBorder="1" applyAlignment="1">
      <alignment horizontal="center" vertical="center"/>
    </xf>
    <xf numFmtId="2" fontId="0" fillId="6" borderId="35" xfId="0" applyNumberFormat="1" applyFill="1" applyBorder="1" applyAlignment="1">
      <alignment horizontal="center" vertical="center"/>
    </xf>
    <xf numFmtId="0" fontId="9" fillId="6" borderId="32" xfId="0" applyFont="1" applyFill="1" applyBorder="1" applyAlignment="1">
      <alignment horizontal="center" vertical="center" wrapText="1"/>
    </xf>
    <xf numFmtId="0" fontId="1" fillId="6" borderId="32" xfId="0" applyFont="1" applyFill="1" applyBorder="1" applyAlignment="1">
      <alignment horizontal="center" vertical="center" wrapText="1"/>
    </xf>
    <xf numFmtId="1" fontId="0" fillId="6" borderId="29" xfId="0" applyNumberFormat="1" applyFill="1" applyBorder="1" applyAlignment="1">
      <alignment horizontal="center" vertical="center"/>
    </xf>
    <xf numFmtId="1" fontId="0" fillId="6" borderId="35" xfId="0" applyNumberFormat="1" applyFill="1" applyBorder="1" applyAlignment="1">
      <alignment horizontal="center" vertical="center"/>
    </xf>
    <xf numFmtId="1" fontId="0" fillId="6" borderId="31" xfId="0" applyNumberFormat="1" applyFill="1" applyBorder="1" applyAlignment="1">
      <alignment horizontal="center" vertical="center"/>
    </xf>
    <xf numFmtId="1" fontId="0" fillId="6" borderId="7" xfId="0" applyNumberFormat="1" applyFill="1" applyBorder="1" applyAlignment="1">
      <alignment horizontal="center" vertical="center"/>
    </xf>
    <xf numFmtId="164" fontId="0" fillId="6" borderId="31" xfId="0" applyNumberFormat="1" applyFill="1" applyBorder="1" applyAlignment="1">
      <alignment horizontal="center" vertical="center"/>
    </xf>
    <xf numFmtId="164" fontId="0" fillId="6" borderId="7" xfId="0" applyNumberFormat="1" applyFill="1" applyBorder="1" applyAlignment="1">
      <alignment horizontal="center" vertical="center"/>
    </xf>
    <xf numFmtId="1" fontId="0" fillId="6" borderId="31" xfId="0" applyNumberFormat="1" applyFill="1" applyBorder="1" applyAlignment="1">
      <alignment horizontal="left" vertical="center"/>
    </xf>
    <xf numFmtId="1" fontId="0" fillId="6" borderId="7" xfId="0" applyNumberFormat="1" applyFill="1" applyBorder="1" applyAlignment="1">
      <alignment horizontal="left" vertical="center"/>
    </xf>
    <xf numFmtId="1" fontId="0" fillId="6" borderId="35" xfId="0" applyNumberFormat="1" applyFill="1" applyBorder="1" applyAlignment="1">
      <alignment horizontal="left" vertical="center"/>
    </xf>
    <xf numFmtId="165" fontId="0" fillId="0" borderId="7" xfId="0" applyNumberFormat="1" applyBorder="1"/>
    <xf numFmtId="0" fontId="20" fillId="6" borderId="7" xfId="0" applyFont="1" applyFill="1" applyBorder="1" applyAlignment="1">
      <alignment horizontal="center" vertical="center" wrapText="1"/>
    </xf>
    <xf numFmtId="0" fontId="9" fillId="0" borderId="0" xfId="0" applyFont="1"/>
    <xf numFmtId="0" fontId="20" fillId="6" borderId="0" xfId="0" applyFont="1" applyFill="1" applyProtection="1">
      <protection hidden="1"/>
    </xf>
    <xf numFmtId="0" fontId="20" fillId="0" borderId="0" xfId="0" applyFont="1"/>
    <xf numFmtId="0" fontId="21" fillId="0" borderId="0" xfId="0" applyFont="1"/>
    <xf numFmtId="0" fontId="22" fillId="0" borderId="0" xfId="0" applyFont="1"/>
    <xf numFmtId="0" fontId="24" fillId="0" borderId="0" xfId="0" applyFont="1"/>
    <xf numFmtId="0" fontId="22" fillId="0" borderId="19" xfId="0" applyFont="1" applyBorder="1" applyAlignment="1">
      <alignment horizontal="center"/>
    </xf>
    <xf numFmtId="0" fontId="25" fillId="0" borderId="0" xfId="0" applyFont="1" applyAlignment="1">
      <alignment horizontal="right"/>
    </xf>
    <xf numFmtId="0" fontId="21" fillId="0" borderId="0" xfId="0" applyFont="1" applyAlignment="1">
      <alignment horizontal="center" vertical="center"/>
    </xf>
    <xf numFmtId="1" fontId="25" fillId="0" borderId="0" xfId="0" applyNumberFormat="1" applyFont="1"/>
    <xf numFmtId="0" fontId="20" fillId="0" borderId="0" xfId="0" applyFont="1" applyAlignment="1">
      <alignment horizontal="center" vertical="center"/>
    </xf>
    <xf numFmtId="0" fontId="20" fillId="0" borderId="24" xfId="0" applyFont="1" applyBorder="1"/>
    <xf numFmtId="0" fontId="21" fillId="0" borderId="24" xfId="0" applyFont="1" applyBorder="1"/>
    <xf numFmtId="0" fontId="22" fillId="0" borderId="24" xfId="0" applyFont="1" applyBorder="1" applyAlignment="1">
      <alignment horizontal="center"/>
    </xf>
    <xf numFmtId="0" fontId="22" fillId="0" borderId="25" xfId="0" applyFont="1" applyBorder="1" applyAlignment="1">
      <alignment horizontal="center"/>
    </xf>
    <xf numFmtId="165" fontId="22" fillId="0" borderId="43" xfId="0" applyNumberFormat="1" applyFont="1" applyBorder="1" applyAlignment="1">
      <alignment horizontal="center"/>
    </xf>
    <xf numFmtId="165" fontId="22" fillId="0" borderId="44" xfId="0" applyNumberFormat="1" applyFont="1" applyBorder="1" applyAlignment="1">
      <alignment horizontal="center"/>
    </xf>
    <xf numFmtId="1" fontId="25" fillId="0" borderId="27" xfId="0" applyNumberFormat="1" applyFont="1" applyBorder="1" applyAlignment="1">
      <alignment horizontal="right"/>
    </xf>
    <xf numFmtId="0" fontId="24" fillId="0" borderId="27" xfId="0" applyFont="1" applyBorder="1"/>
    <xf numFmtId="0" fontId="21" fillId="0" borderId="27" xfId="0" applyFont="1" applyBorder="1" applyAlignment="1">
      <alignment horizontal="center" vertical="center"/>
    </xf>
    <xf numFmtId="0" fontId="22" fillId="0" borderId="27" xfId="0" applyFont="1" applyBorder="1"/>
    <xf numFmtId="0" fontId="22" fillId="0" borderId="27" xfId="0" applyFont="1" applyBorder="1" applyAlignment="1">
      <alignment horizontal="right"/>
    </xf>
    <xf numFmtId="165" fontId="22" fillId="0" borderId="28" xfId="0" applyNumberFormat="1" applyFont="1" applyBorder="1" applyAlignment="1">
      <alignment horizontal="center"/>
    </xf>
    <xf numFmtId="0" fontId="24" fillId="0" borderId="42" xfId="0" applyFont="1" applyBorder="1" applyAlignment="1">
      <alignment horizontal="right"/>
    </xf>
    <xf numFmtId="165" fontId="24" fillId="0" borderId="0" xfId="0" applyNumberFormat="1" applyFont="1" applyAlignment="1">
      <alignment horizontal="right"/>
    </xf>
    <xf numFmtId="0" fontId="22" fillId="0" borderId="0" xfId="0" applyFont="1" applyAlignment="1">
      <alignment horizontal="center"/>
    </xf>
    <xf numFmtId="165" fontId="22" fillId="0" borderId="0" xfId="0" applyNumberFormat="1" applyFont="1" applyAlignment="1">
      <alignment horizontal="center"/>
    </xf>
    <xf numFmtId="0" fontId="24" fillId="0" borderId="0" xfId="0" applyFont="1" applyAlignment="1">
      <alignment horizontal="center"/>
    </xf>
    <xf numFmtId="0" fontId="24" fillId="0" borderId="45" xfId="0" applyFont="1" applyBorder="1" applyAlignment="1">
      <alignment horizontal="right"/>
    </xf>
    <xf numFmtId="0" fontId="25" fillId="0" borderId="26" xfId="0" applyFont="1" applyBorder="1" applyAlignment="1">
      <alignment horizontal="right"/>
    </xf>
    <xf numFmtId="0" fontId="0" fillId="2" borderId="0" xfId="0" applyFill="1" applyAlignment="1">
      <alignment horizontal="center"/>
    </xf>
    <xf numFmtId="2" fontId="1" fillId="6" borderId="0" xfId="0" applyNumberFormat="1" applyFont="1" applyFill="1" applyAlignment="1" applyProtection="1">
      <alignment horizontal="center"/>
      <protection hidden="1"/>
    </xf>
    <xf numFmtId="0" fontId="27" fillId="6" borderId="0" xfId="0" applyFont="1" applyFill="1" applyProtection="1">
      <protection hidden="1"/>
    </xf>
    <xf numFmtId="165" fontId="29" fillId="0" borderId="19" xfId="0" applyNumberFormat="1" applyFont="1" applyBorder="1" applyAlignment="1">
      <alignment horizontal="right"/>
    </xf>
    <xf numFmtId="0" fontId="9" fillId="0" borderId="23" xfId="0" applyFont="1" applyBorder="1"/>
    <xf numFmtId="0" fontId="0" fillId="0" borderId="0" xfId="0" applyAlignment="1">
      <alignment horizontal="left"/>
    </xf>
    <xf numFmtId="0" fontId="1" fillId="0" borderId="0" xfId="0" applyFont="1" applyAlignment="1">
      <alignment horizontal="left"/>
    </xf>
    <xf numFmtId="0" fontId="16" fillId="0" borderId="0" xfId="0" applyFont="1"/>
    <xf numFmtId="9" fontId="0" fillId="0" borderId="0" xfId="1" applyFont="1" applyBorder="1" applyAlignment="1">
      <alignment horizontal="center"/>
    </xf>
    <xf numFmtId="10" fontId="1" fillId="0" borderId="0" xfId="1" applyNumberFormat="1" applyFont="1" applyBorder="1"/>
    <xf numFmtId="0" fontId="27" fillId="0" borderId="23" xfId="0" applyFont="1" applyBorder="1"/>
    <xf numFmtId="0" fontId="30" fillId="0" borderId="24" xfId="0" applyFont="1" applyBorder="1"/>
    <xf numFmtId="0" fontId="29" fillId="0" borderId="42" xfId="0" applyFont="1" applyBorder="1" applyAlignment="1">
      <alignment horizontal="right"/>
    </xf>
    <xf numFmtId="0" fontId="29" fillId="0" borderId="45" xfId="0" applyFont="1" applyBorder="1" applyAlignment="1">
      <alignment horizontal="right"/>
    </xf>
    <xf numFmtId="0" fontId="31" fillId="0" borderId="26" xfId="0" applyFont="1" applyBorder="1" applyAlignment="1">
      <alignment horizontal="right"/>
    </xf>
    <xf numFmtId="1" fontId="31" fillId="0" borderId="27" xfId="0" applyNumberFormat="1" applyFont="1" applyBorder="1" applyAlignment="1">
      <alignment horizontal="right"/>
    </xf>
    <xf numFmtId="0" fontId="29" fillId="0" borderId="27" xfId="0" applyFont="1" applyBorder="1"/>
    <xf numFmtId="0" fontId="29" fillId="0" borderId="0" xfId="0" applyFont="1" applyAlignment="1">
      <alignment horizontal="right"/>
    </xf>
    <xf numFmtId="0" fontId="24" fillId="0" borderId="24" xfId="0" applyFont="1" applyBorder="1"/>
    <xf numFmtId="0" fontId="21" fillId="0" borderId="24" xfId="0" applyFont="1" applyBorder="1" applyAlignment="1">
      <alignment horizontal="center" vertical="center"/>
    </xf>
    <xf numFmtId="0" fontId="32" fillId="0" borderId="24" xfId="0" applyFont="1" applyBorder="1" applyAlignment="1">
      <alignment horizontal="center"/>
    </xf>
    <xf numFmtId="0" fontId="29" fillId="0" borderId="25" xfId="0" applyFont="1" applyBorder="1" applyAlignment="1">
      <alignment horizontal="center"/>
    </xf>
    <xf numFmtId="165" fontId="29" fillId="0" borderId="0" xfId="0" applyNumberFormat="1" applyFont="1" applyAlignment="1">
      <alignment horizontal="right"/>
    </xf>
    <xf numFmtId="0" fontId="29" fillId="0" borderId="0" xfId="0" applyFont="1"/>
    <xf numFmtId="165" fontId="29" fillId="0" borderId="0" xfId="0" applyNumberFormat="1" applyFont="1" applyAlignment="1">
      <alignment horizontal="center"/>
    </xf>
    <xf numFmtId="165" fontId="29" fillId="0" borderId="43" xfId="0" applyNumberFormat="1" applyFont="1" applyBorder="1" applyAlignment="1">
      <alignment horizontal="center"/>
    </xf>
    <xf numFmtId="0" fontId="21" fillId="0" borderId="27" xfId="0" applyFont="1" applyBorder="1"/>
    <xf numFmtId="0" fontId="29" fillId="0" borderId="19" xfId="0" applyFont="1" applyBorder="1"/>
    <xf numFmtId="0" fontId="24" fillId="0" borderId="19" xfId="0" applyFont="1" applyBorder="1"/>
    <xf numFmtId="0" fontId="29" fillId="0" borderId="19" xfId="0" applyFont="1" applyBorder="1" applyAlignment="1">
      <alignment horizontal="right"/>
    </xf>
    <xf numFmtId="165" fontId="29" fillId="0" borderId="19" xfId="0" applyNumberFormat="1" applyFont="1" applyBorder="1" applyAlignment="1">
      <alignment horizontal="center"/>
    </xf>
    <xf numFmtId="165" fontId="29" fillId="0" borderId="44" xfId="0" applyNumberFormat="1" applyFont="1" applyBorder="1" applyAlignment="1">
      <alignment horizontal="center"/>
    </xf>
    <xf numFmtId="0" fontId="17" fillId="0" borderId="0" xfId="0" applyFont="1"/>
    <xf numFmtId="1" fontId="0" fillId="0" borderId="0" xfId="0" applyNumberFormat="1"/>
    <xf numFmtId="0" fontId="28" fillId="0" borderId="7" xfId="0" applyFont="1" applyBorder="1" applyAlignment="1">
      <alignment horizontal="center"/>
    </xf>
    <xf numFmtId="165" fontId="28" fillId="0" borderId="7" xfId="0" applyNumberFormat="1" applyFont="1" applyBorder="1"/>
    <xf numFmtId="164" fontId="0" fillId="0" borderId="0" xfId="0" applyNumberFormat="1" applyAlignment="1">
      <alignment horizontal="center"/>
    </xf>
    <xf numFmtId="164" fontId="7" fillId="0" borderId="0" xfId="0" applyNumberFormat="1" applyFont="1" applyAlignment="1" applyProtection="1">
      <alignment horizontal="center" vertical="center"/>
      <protection hidden="1"/>
    </xf>
    <xf numFmtId="0" fontId="1" fillId="0" borderId="0" xfId="0" applyFont="1" applyAlignment="1" applyProtection="1">
      <alignment horizontal="center"/>
      <protection hidden="1"/>
    </xf>
    <xf numFmtId="3" fontId="0" fillId="0" borderId="0" xfId="0" applyNumberFormat="1" applyAlignment="1">
      <alignment horizontal="center"/>
    </xf>
    <xf numFmtId="0" fontId="0" fillId="0" borderId="0" xfId="0" applyAlignment="1">
      <alignment horizontal="right"/>
    </xf>
    <xf numFmtId="1" fontId="0" fillId="0" borderId="0" xfId="0" applyNumberFormat="1" applyAlignment="1" applyProtection="1">
      <alignment horizontal="center"/>
      <protection hidden="1"/>
    </xf>
    <xf numFmtId="2" fontId="7" fillId="0" borderId="0" xfId="0" applyNumberFormat="1" applyFont="1" applyAlignment="1" applyProtection="1">
      <alignment horizontal="center" vertical="center"/>
      <protection hidden="1"/>
    </xf>
    <xf numFmtId="1" fontId="0" fillId="8" borderId="0" xfId="0" applyNumberFormat="1" applyFill="1" applyAlignment="1" applyProtection="1">
      <alignment horizontal="center"/>
      <protection hidden="1"/>
    </xf>
    <xf numFmtId="2" fontId="12" fillId="0" borderId="18" xfId="0" applyNumberFormat="1" applyFont="1" applyBorder="1" applyAlignment="1">
      <alignment horizontal="center"/>
    </xf>
    <xf numFmtId="2" fontId="12" fillId="0" borderId="0" xfId="0" applyNumberFormat="1" applyFont="1" applyAlignment="1">
      <alignment horizontal="center"/>
    </xf>
    <xf numFmtId="3" fontId="7" fillId="0" borderId="0" xfId="0" applyNumberFormat="1" applyFont="1" applyAlignment="1">
      <alignment horizontal="center"/>
    </xf>
    <xf numFmtId="0" fontId="7" fillId="0" borderId="0" xfId="0" applyFont="1"/>
    <xf numFmtId="0" fontId="0" fillId="0" borderId="0" xfId="0" applyAlignment="1" applyProtection="1">
      <alignment horizontal="right"/>
      <protection hidden="1"/>
    </xf>
    <xf numFmtId="165" fontId="0" fillId="0" borderId="7" xfId="0" applyNumberFormat="1" applyBorder="1" applyAlignment="1">
      <alignment horizontal="center"/>
    </xf>
    <xf numFmtId="1" fontId="0" fillId="0" borderId="7" xfId="0" applyNumberFormat="1" applyBorder="1" applyAlignment="1">
      <alignment horizontal="center"/>
    </xf>
    <xf numFmtId="3" fontId="0" fillId="0" borderId="7" xfId="0" applyNumberFormat="1" applyBorder="1" applyAlignment="1">
      <alignment horizontal="center"/>
    </xf>
    <xf numFmtId="3" fontId="0" fillId="0" borderId="0" xfId="0" applyNumberFormat="1"/>
    <xf numFmtId="1" fontId="0" fillId="0" borderId="0" xfId="0" applyNumberFormat="1" applyAlignment="1">
      <alignment horizontal="center"/>
    </xf>
    <xf numFmtId="1" fontId="0" fillId="0" borderId="0" xfId="0" applyNumberFormat="1" applyAlignment="1" applyProtection="1">
      <alignment horizontal="center" vertical="center"/>
      <protection hidden="1"/>
    </xf>
    <xf numFmtId="0" fontId="0" fillId="0" borderId="0" xfId="0" applyAlignment="1" applyProtection="1">
      <alignment horizontal="center" vertical="center"/>
      <protection hidden="1"/>
    </xf>
    <xf numFmtId="2" fontId="0" fillId="0" borderId="0" xfId="0" applyNumberFormat="1" applyAlignment="1" applyProtection="1">
      <alignment horizontal="center"/>
      <protection hidden="1"/>
    </xf>
    <xf numFmtId="0" fontId="0" fillId="8" borderId="0" xfId="0" applyFill="1" applyAlignment="1">
      <alignment horizontal="right"/>
    </xf>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center"/>
    </xf>
    <xf numFmtId="1" fontId="0" fillId="8" borderId="0" xfId="0" applyNumberFormat="1" applyFill="1" applyAlignment="1">
      <alignment horizontal="center"/>
    </xf>
    <xf numFmtId="1" fontId="28" fillId="0" borderId="7" xfId="0" applyNumberFormat="1" applyFont="1" applyBorder="1" applyAlignment="1">
      <alignment horizontal="center"/>
    </xf>
    <xf numFmtId="165" fontId="28" fillId="0" borderId="7" xfId="0" applyNumberFormat="1" applyFont="1" applyBorder="1" applyAlignment="1">
      <alignment horizontal="center"/>
    </xf>
    <xf numFmtId="0" fontId="13" fillId="0" borderId="0" xfId="0" applyFont="1" applyAlignment="1">
      <alignment horizontal="center"/>
    </xf>
    <xf numFmtId="2" fontId="13" fillId="0" borderId="0" xfId="0" applyNumberFormat="1" applyFont="1" applyAlignment="1">
      <alignment horizontal="center"/>
    </xf>
    <xf numFmtId="0" fontId="1" fillId="0" borderId="0" xfId="0" applyFont="1" applyAlignment="1">
      <alignment vertical="top"/>
    </xf>
    <xf numFmtId="0" fontId="34" fillId="6" borderId="0" xfId="0" applyFont="1" applyFill="1" applyProtection="1">
      <protection hidden="1"/>
    </xf>
    <xf numFmtId="0" fontId="35" fillId="0" borderId="0" xfId="0" applyFont="1"/>
    <xf numFmtId="0" fontId="20" fillId="0" borderId="0" xfId="0" applyFont="1" applyAlignment="1">
      <alignment horizontal="center" vertical="center" wrapText="1"/>
    </xf>
    <xf numFmtId="0" fontId="0" fillId="0" borderId="0" xfId="0" applyAlignment="1">
      <alignment horizontal="center" vertical="center"/>
    </xf>
    <xf numFmtId="3" fontId="1" fillId="6" borderId="0" xfId="0" applyNumberFormat="1" applyFont="1" applyFill="1" applyAlignment="1" applyProtection="1">
      <alignment horizontal="center"/>
      <protection hidden="1"/>
    </xf>
    <xf numFmtId="0" fontId="9" fillId="3" borderId="7" xfId="0" applyFont="1" applyFill="1" applyBorder="1" applyAlignment="1" applyProtection="1">
      <alignment horizontal="center"/>
      <protection hidden="1"/>
    </xf>
    <xf numFmtId="0" fontId="1" fillId="6" borderId="41" xfId="0" applyFont="1" applyFill="1" applyBorder="1" applyAlignment="1">
      <alignment horizontal="center" vertical="center" wrapText="1"/>
    </xf>
    <xf numFmtId="0" fontId="20" fillId="6" borderId="38" xfId="0" applyFont="1" applyFill="1" applyBorder="1" applyAlignment="1">
      <alignment horizontal="center" vertical="center"/>
    </xf>
    <xf numFmtId="2" fontId="0" fillId="6" borderId="12" xfId="0" applyNumberFormat="1" applyFill="1" applyBorder="1" applyAlignment="1">
      <alignment horizontal="center" vertical="center"/>
    </xf>
    <xf numFmtId="2" fontId="0" fillId="6" borderId="37" xfId="0" applyNumberFormat="1" applyFill="1" applyBorder="1" applyAlignment="1">
      <alignment horizontal="center" vertical="center"/>
    </xf>
    <xf numFmtId="2" fontId="0" fillId="6" borderId="40" xfId="0" applyNumberFormat="1" applyFill="1" applyBorder="1" applyAlignment="1">
      <alignment horizontal="center" vertical="center"/>
    </xf>
    <xf numFmtId="2" fontId="0" fillId="6" borderId="14" xfId="0" applyNumberFormat="1" applyFill="1" applyBorder="1" applyAlignment="1">
      <alignment horizontal="center" vertical="center"/>
    </xf>
    <xf numFmtId="1" fontId="0" fillId="0" borderId="7" xfId="0" applyNumberFormat="1" applyBorder="1" applyAlignment="1">
      <alignment horizontal="center" vertical="center"/>
    </xf>
    <xf numFmtId="1" fontId="0" fillId="0" borderId="7" xfId="0" applyNumberFormat="1" applyBorder="1" applyAlignment="1">
      <alignment horizontal="left" vertical="center"/>
    </xf>
    <xf numFmtId="1" fontId="0" fillId="0" borderId="29" xfId="0" applyNumberFormat="1" applyBorder="1" applyAlignment="1">
      <alignment horizontal="center" vertical="center"/>
    </xf>
    <xf numFmtId="0" fontId="20" fillId="0" borderId="35" xfId="0" applyFont="1" applyBorder="1" applyAlignment="1">
      <alignment horizontal="center" vertical="center"/>
    </xf>
    <xf numFmtId="0" fontId="20" fillId="0" borderId="6" xfId="0" applyFont="1" applyBorder="1" applyAlignment="1">
      <alignment horizontal="center" vertical="center"/>
    </xf>
    <xf numFmtId="2" fontId="0" fillId="6" borderId="31" xfId="0" applyNumberFormat="1" applyFill="1" applyBorder="1" applyAlignment="1">
      <alignment horizontal="center" vertical="center"/>
    </xf>
    <xf numFmtId="1" fontId="0" fillId="0" borderId="31" xfId="0" applyNumberFormat="1" applyBorder="1" applyAlignment="1">
      <alignment horizontal="center" vertical="center"/>
    </xf>
    <xf numFmtId="1" fontId="0" fillId="0" borderId="33" xfId="0" applyNumberFormat="1" applyBorder="1" applyAlignment="1">
      <alignment horizontal="center" vertical="center"/>
    </xf>
    <xf numFmtId="1" fontId="0" fillId="0" borderId="5" xfId="0" applyNumberFormat="1" applyBorder="1" applyAlignment="1">
      <alignment horizontal="center" vertical="center"/>
    </xf>
    <xf numFmtId="1" fontId="0" fillId="0" borderId="35" xfId="0" applyNumberFormat="1" applyBorder="1" applyAlignment="1">
      <alignment horizontal="center" vertical="center"/>
    </xf>
    <xf numFmtId="1" fontId="0" fillId="0" borderId="6" xfId="0" applyNumberFormat="1" applyBorder="1" applyAlignment="1">
      <alignment horizontal="center" vertical="center"/>
    </xf>
    <xf numFmtId="164" fontId="0" fillId="6" borderId="29" xfId="0" applyNumberFormat="1" applyFill="1" applyBorder="1" applyAlignment="1">
      <alignment horizontal="center" vertical="center"/>
    </xf>
    <xf numFmtId="0" fontId="0" fillId="6" borderId="48" xfId="0" applyFill="1" applyBorder="1" applyAlignment="1">
      <alignment horizontal="center" vertical="center"/>
    </xf>
    <xf numFmtId="2" fontId="0" fillId="6" borderId="48" xfId="0" applyNumberFormat="1" applyFill="1" applyBorder="1" applyAlignment="1">
      <alignment horizontal="center" vertical="center"/>
    </xf>
    <xf numFmtId="1" fontId="0" fillId="6" borderId="48" xfId="0" applyNumberFormat="1" applyFill="1" applyBorder="1" applyAlignment="1">
      <alignment horizontal="center" vertical="center"/>
    </xf>
    <xf numFmtId="2" fontId="0" fillId="6" borderId="49" xfId="0" applyNumberFormat="1" applyFill="1" applyBorder="1" applyAlignment="1">
      <alignment horizontal="center" vertical="center"/>
    </xf>
    <xf numFmtId="1" fontId="0" fillId="0" borderId="31" xfId="0" applyNumberFormat="1" applyBorder="1" applyAlignment="1">
      <alignment horizontal="left" vertical="center"/>
    </xf>
    <xf numFmtId="1" fontId="0" fillId="0" borderId="33" xfId="0" applyNumberFormat="1" applyBorder="1" applyAlignment="1">
      <alignment horizontal="left" vertical="center"/>
    </xf>
    <xf numFmtId="1" fontId="0" fillId="0" borderId="5" xfId="0" applyNumberFormat="1" applyBorder="1" applyAlignment="1">
      <alignment horizontal="left" vertical="center"/>
    </xf>
    <xf numFmtId="1" fontId="0" fillId="0" borderId="35" xfId="0" applyNumberFormat="1" applyBorder="1" applyAlignment="1">
      <alignment horizontal="left" vertical="center"/>
    </xf>
    <xf numFmtId="1" fontId="0" fillId="0" borderId="6" xfId="0" applyNumberFormat="1" applyBorder="1" applyAlignment="1">
      <alignment horizontal="left" vertical="center"/>
    </xf>
    <xf numFmtId="1" fontId="0" fillId="0" borderId="3" xfId="0" applyNumberFormat="1" applyBorder="1" applyAlignment="1">
      <alignment horizontal="center" vertical="center"/>
    </xf>
    <xf numFmtId="0" fontId="0" fillId="0" borderId="0" xfId="0" applyAlignment="1" applyProtection="1">
      <alignment horizontal="left"/>
      <protection hidden="1"/>
    </xf>
    <xf numFmtId="0" fontId="7" fillId="0" borderId="0" xfId="0" applyFont="1" applyAlignment="1">
      <alignment horizontal="center"/>
    </xf>
    <xf numFmtId="165" fontId="1" fillId="0" borderId="0" xfId="0" applyNumberFormat="1" applyFont="1" applyAlignment="1">
      <alignment horizontal="center"/>
    </xf>
    <xf numFmtId="0" fontId="19" fillId="0" borderId="0" xfId="0" applyFont="1" applyAlignment="1">
      <alignment horizontal="center" vertical="center"/>
    </xf>
    <xf numFmtId="0" fontId="36" fillId="6" borderId="0" xfId="0" applyFont="1" applyFill="1" applyAlignment="1">
      <alignment horizontal="center" vertical="center" wrapText="1"/>
    </xf>
    <xf numFmtId="0" fontId="37" fillId="0" borderId="0" xfId="0" applyFont="1"/>
    <xf numFmtId="0" fontId="9" fillId="10" borderId="23" xfId="0" applyFont="1" applyFill="1" applyBorder="1" applyAlignment="1" applyProtection="1">
      <alignment horizontal="right"/>
      <protection hidden="1"/>
    </xf>
    <xf numFmtId="0" fontId="7" fillId="0" borderId="7" xfId="0" applyFont="1" applyBorder="1"/>
    <xf numFmtId="0" fontId="11" fillId="5" borderId="0" xfId="0" applyFont="1" applyFill="1" applyAlignment="1" applyProtection="1">
      <alignment horizontal="center"/>
      <protection hidden="1"/>
    </xf>
    <xf numFmtId="0" fontId="7" fillId="0" borderId="7" xfId="0" applyFont="1" applyBorder="1" applyAlignment="1">
      <alignment horizontal="center"/>
    </xf>
    <xf numFmtId="0" fontId="1" fillId="0" borderId="7" xfId="0" applyFont="1" applyBorder="1"/>
    <xf numFmtId="0" fontId="35" fillId="0" borderId="7" xfId="0" applyFont="1" applyBorder="1"/>
    <xf numFmtId="0" fontId="1" fillId="0" borderId="7" xfId="0" applyFont="1" applyBorder="1" applyAlignment="1">
      <alignment vertical="top"/>
    </xf>
    <xf numFmtId="0" fontId="39" fillId="7" borderId="16" xfId="0" applyFont="1" applyFill="1" applyBorder="1" applyAlignment="1" applyProtection="1">
      <alignment horizontal="center" vertical="center"/>
      <protection locked="0" hidden="1"/>
    </xf>
    <xf numFmtId="0" fontId="20" fillId="11" borderId="50" xfId="0" applyFont="1" applyFill="1" applyBorder="1" applyAlignment="1">
      <alignment horizontal="left" vertical="center"/>
    </xf>
    <xf numFmtId="0" fontId="20" fillId="11" borderId="51" xfId="0" applyFont="1" applyFill="1" applyBorder="1" applyAlignment="1">
      <alignment horizontal="left" vertical="center"/>
    </xf>
    <xf numFmtId="0" fontId="34" fillId="11" borderId="51" xfId="0" applyFont="1" applyFill="1" applyBorder="1" applyAlignment="1">
      <alignment horizontal="center" vertical="center"/>
    </xf>
    <xf numFmtId="0" fontId="20" fillId="0" borderId="54" xfId="0" applyFont="1" applyBorder="1" applyAlignment="1">
      <alignment horizontal="left" vertical="center"/>
    </xf>
    <xf numFmtId="0" fontId="20" fillId="0" borderId="57" xfId="0" applyFont="1" applyBorder="1" applyAlignment="1">
      <alignment horizontal="left" vertical="center"/>
    </xf>
    <xf numFmtId="0" fontId="20" fillId="0" borderId="59" xfId="0" applyFont="1" applyBorder="1" applyAlignment="1">
      <alignment horizontal="left" vertical="center"/>
    </xf>
    <xf numFmtId="0" fontId="34" fillId="11" borderId="51" xfId="0" applyFont="1" applyFill="1" applyBorder="1" applyAlignment="1">
      <alignment horizontal="center" vertical="center" wrapText="1"/>
    </xf>
    <xf numFmtId="0" fontId="26" fillId="0" borderId="0" xfId="0" applyFont="1"/>
    <xf numFmtId="0" fontId="20" fillId="6" borderId="0" xfId="0" applyFont="1" applyFill="1" applyAlignment="1" applyProtection="1">
      <alignment horizontal="left"/>
      <protection hidden="1"/>
    </xf>
    <xf numFmtId="0" fontId="20" fillId="0" borderId="0" xfId="0" applyFont="1" applyProtection="1">
      <protection hidden="1"/>
    </xf>
    <xf numFmtId="14" fontId="20" fillId="6" borderId="0" xfId="0" applyNumberFormat="1" applyFont="1" applyFill="1" applyAlignment="1" applyProtection="1">
      <alignment horizontal="center"/>
      <protection hidden="1"/>
    </xf>
    <xf numFmtId="0" fontId="21" fillId="0" borderId="0" xfId="0" applyFont="1" applyProtection="1">
      <protection hidden="1"/>
    </xf>
    <xf numFmtId="0" fontId="20" fillId="6" borderId="0" xfId="0" applyFont="1" applyFill="1" applyAlignment="1" applyProtection="1">
      <alignment horizontal="center"/>
      <protection hidden="1"/>
    </xf>
    <xf numFmtId="0" fontId="21" fillId="6" borderId="0" xfId="0" applyFont="1" applyFill="1" applyProtection="1">
      <protection hidden="1"/>
    </xf>
    <xf numFmtId="1" fontId="39" fillId="7" borderId="16" xfId="0" applyNumberFormat="1" applyFont="1" applyFill="1" applyBorder="1" applyAlignment="1" applyProtection="1">
      <alignment horizontal="center" vertical="center"/>
      <protection locked="0" hidden="1"/>
    </xf>
    <xf numFmtId="2" fontId="20" fillId="6" borderId="0" xfId="0" applyNumberFormat="1" applyFont="1" applyFill="1" applyAlignment="1" applyProtection="1">
      <alignment horizontal="center" vertical="center"/>
      <protection hidden="1"/>
    </xf>
    <xf numFmtId="2" fontId="41" fillId="6" borderId="0" xfId="0" applyNumberFormat="1" applyFont="1" applyFill="1" applyProtection="1">
      <protection hidden="1"/>
    </xf>
    <xf numFmtId="2" fontId="41" fillId="6" borderId="0" xfId="0" applyNumberFormat="1" applyFont="1" applyFill="1" applyAlignment="1" applyProtection="1">
      <alignment vertical="center"/>
      <protection hidden="1"/>
    </xf>
    <xf numFmtId="2" fontId="20" fillId="6" borderId="0" xfId="0" applyNumberFormat="1" applyFont="1" applyFill="1" applyAlignment="1" applyProtection="1">
      <alignment horizontal="center"/>
      <protection hidden="1"/>
    </xf>
    <xf numFmtId="0" fontId="34" fillId="6" borderId="19" xfId="0" applyFont="1" applyFill="1" applyBorder="1" applyProtection="1">
      <protection hidden="1"/>
    </xf>
    <xf numFmtId="0" fontId="20" fillId="6" borderId="19" xfId="0" applyFont="1" applyFill="1" applyBorder="1" applyProtection="1">
      <protection hidden="1"/>
    </xf>
    <xf numFmtId="2" fontId="20" fillId="6" borderId="19" xfId="0" applyNumberFormat="1" applyFont="1" applyFill="1" applyBorder="1" applyAlignment="1" applyProtection="1">
      <alignment horizontal="center"/>
      <protection hidden="1"/>
    </xf>
    <xf numFmtId="2" fontId="21" fillId="6" borderId="0" xfId="0" applyNumberFormat="1" applyFont="1" applyFill="1" applyAlignment="1" applyProtection="1">
      <alignment horizontal="center" vertical="center"/>
      <protection hidden="1"/>
    </xf>
    <xf numFmtId="0" fontId="20" fillId="6" borderId="0" xfId="0" applyFont="1" applyFill="1" applyAlignment="1" applyProtection="1">
      <alignment wrapText="1"/>
      <protection hidden="1"/>
    </xf>
    <xf numFmtId="0" fontId="30" fillId="6" borderId="0" xfId="0" applyFont="1" applyFill="1" applyProtection="1">
      <protection hidden="1"/>
    </xf>
    <xf numFmtId="165" fontId="21" fillId="6" borderId="0" xfId="0" applyNumberFormat="1" applyFont="1" applyFill="1" applyAlignment="1" applyProtection="1">
      <alignment horizontal="center" vertical="center"/>
      <protection hidden="1"/>
    </xf>
    <xf numFmtId="0" fontId="9" fillId="0" borderId="0" xfId="0" applyFont="1" applyProtection="1">
      <protection hidden="1"/>
    </xf>
    <xf numFmtId="3" fontId="21" fillId="6" borderId="0" xfId="0" applyNumberFormat="1" applyFont="1" applyFill="1" applyAlignment="1" applyProtection="1">
      <alignment horizontal="center" vertical="center"/>
      <protection hidden="1"/>
    </xf>
    <xf numFmtId="1" fontId="20" fillId="6" borderId="0" xfId="0" applyNumberFormat="1" applyFont="1" applyFill="1" applyAlignment="1" applyProtection="1">
      <alignment horizontal="center" vertical="center"/>
      <protection hidden="1"/>
    </xf>
    <xf numFmtId="3" fontId="20" fillId="6" borderId="0" xfId="0" applyNumberFormat="1" applyFont="1" applyFill="1" applyAlignment="1" applyProtection="1">
      <alignment horizontal="center" vertical="center"/>
      <protection hidden="1"/>
    </xf>
    <xf numFmtId="2" fontId="9" fillId="6" borderId="0" xfId="0" applyNumberFormat="1" applyFont="1" applyFill="1" applyAlignment="1" applyProtection="1">
      <alignment horizontal="center" vertical="center"/>
      <protection hidden="1"/>
    </xf>
    <xf numFmtId="2" fontId="9" fillId="6" borderId="25" xfId="0" applyNumberFormat="1" applyFont="1" applyFill="1" applyBorder="1" applyAlignment="1" applyProtection="1">
      <alignment horizontal="center" vertical="center"/>
      <protection hidden="1"/>
    </xf>
    <xf numFmtId="3" fontId="9" fillId="6" borderId="28" xfId="0" applyNumberFormat="1" applyFont="1" applyFill="1" applyBorder="1" applyAlignment="1" applyProtection="1">
      <alignment horizontal="center"/>
      <protection hidden="1"/>
    </xf>
    <xf numFmtId="2" fontId="41" fillId="6" borderId="19" xfId="0" applyNumberFormat="1" applyFont="1" applyFill="1" applyBorder="1" applyProtection="1">
      <protection hidden="1"/>
    </xf>
    <xf numFmtId="0" fontId="20" fillId="0" borderId="19" xfId="0" applyFont="1" applyBorder="1" applyProtection="1">
      <protection hidden="1"/>
    </xf>
    <xf numFmtId="0" fontId="43" fillId="6" borderId="0" xfId="0" applyFont="1" applyFill="1" applyProtection="1">
      <protection hidden="1"/>
    </xf>
    <xf numFmtId="0" fontId="41" fillId="6" borderId="0" xfId="0" applyFont="1" applyFill="1" applyAlignment="1" applyProtection="1">
      <alignment horizontal="center" vertical="center"/>
      <protection hidden="1"/>
    </xf>
    <xf numFmtId="0" fontId="44" fillId="6" borderId="0" xfId="0" applyFont="1" applyFill="1" applyProtection="1">
      <protection hidden="1"/>
    </xf>
    <xf numFmtId="164" fontId="41" fillId="6" borderId="0" xfId="0" applyNumberFormat="1" applyFont="1" applyFill="1" applyAlignment="1" applyProtection="1">
      <alignment horizontal="right" vertical="center"/>
      <protection hidden="1"/>
    </xf>
    <xf numFmtId="2" fontId="41" fillId="6" borderId="0" xfId="0" applyNumberFormat="1" applyFont="1" applyFill="1" applyAlignment="1" applyProtection="1">
      <alignment horizontal="center" vertical="center"/>
      <protection hidden="1"/>
    </xf>
    <xf numFmtId="165" fontId="20" fillId="6" borderId="0" xfId="0" applyNumberFormat="1" applyFont="1" applyFill="1" applyAlignment="1" applyProtection="1">
      <alignment horizontal="center"/>
      <protection hidden="1"/>
    </xf>
    <xf numFmtId="2" fontId="41" fillId="6" borderId="0" xfId="0" applyNumberFormat="1" applyFont="1" applyFill="1" applyAlignment="1" applyProtection="1">
      <alignment horizontal="left" vertical="center"/>
      <protection hidden="1"/>
    </xf>
    <xf numFmtId="2" fontId="39" fillId="7" borderId="16" xfId="0" applyNumberFormat="1" applyFont="1" applyFill="1" applyBorder="1" applyAlignment="1" applyProtection="1">
      <alignment horizontal="center" vertical="center"/>
      <protection locked="0" hidden="1"/>
    </xf>
    <xf numFmtId="1" fontId="21" fillId="6" borderId="0" xfId="0" applyNumberFormat="1" applyFont="1" applyFill="1" applyAlignment="1" applyProtection="1">
      <alignment horizontal="center" vertical="center"/>
      <protection hidden="1"/>
    </xf>
    <xf numFmtId="2" fontId="41" fillId="6" borderId="0" xfId="0" applyNumberFormat="1" applyFont="1" applyFill="1" applyAlignment="1" applyProtection="1">
      <alignment horizontal="center"/>
      <protection hidden="1"/>
    </xf>
    <xf numFmtId="0" fontId="41" fillId="0" borderId="0" xfId="0" applyFont="1" applyAlignment="1" applyProtection="1">
      <alignment horizontal="center" vertical="center"/>
      <protection hidden="1"/>
    </xf>
    <xf numFmtId="2" fontId="39" fillId="0" borderId="0" xfId="0" applyNumberFormat="1" applyFont="1" applyAlignment="1" applyProtection="1">
      <alignment horizontal="center" vertical="center"/>
      <protection locked="0" hidden="1"/>
    </xf>
    <xf numFmtId="1" fontId="44" fillId="6" borderId="0" xfId="0" applyNumberFormat="1" applyFont="1" applyFill="1" applyAlignment="1" applyProtection="1">
      <alignment horizontal="left" vertical="center"/>
      <protection hidden="1"/>
    </xf>
    <xf numFmtId="1" fontId="44" fillId="6" borderId="0" xfId="0" applyNumberFormat="1" applyFont="1" applyFill="1" applyAlignment="1" applyProtection="1">
      <alignment horizontal="center" vertical="center"/>
      <protection hidden="1"/>
    </xf>
    <xf numFmtId="1" fontId="20" fillId="6" borderId="0" xfId="0" applyNumberFormat="1" applyFont="1" applyFill="1" applyAlignment="1" applyProtection="1">
      <alignment horizontal="center"/>
      <protection hidden="1"/>
    </xf>
    <xf numFmtId="2" fontId="44" fillId="6" borderId="0" xfId="0" applyNumberFormat="1" applyFont="1" applyFill="1" applyAlignment="1" applyProtection="1">
      <alignment horizontal="left"/>
      <protection hidden="1"/>
    </xf>
    <xf numFmtId="2" fontId="41" fillId="6" borderId="0" xfId="0" applyNumberFormat="1" applyFont="1" applyFill="1" applyAlignment="1" applyProtection="1">
      <alignment horizontal="right"/>
      <protection hidden="1"/>
    </xf>
    <xf numFmtId="2" fontId="41" fillId="6" borderId="19" xfId="0" applyNumberFormat="1" applyFont="1" applyFill="1" applyBorder="1" applyAlignment="1" applyProtection="1">
      <alignment horizontal="center"/>
      <protection hidden="1"/>
    </xf>
    <xf numFmtId="0" fontId="41" fillId="6" borderId="19" xfId="0" applyFont="1" applyFill="1" applyBorder="1" applyAlignment="1" applyProtection="1">
      <alignment horizontal="center" vertical="center"/>
      <protection hidden="1"/>
    </xf>
    <xf numFmtId="2" fontId="44" fillId="6" borderId="0" xfId="0" applyNumberFormat="1" applyFont="1" applyFill="1" applyProtection="1">
      <protection hidden="1"/>
    </xf>
    <xf numFmtId="2" fontId="20" fillId="6" borderId="47" xfId="0" applyNumberFormat="1" applyFont="1" applyFill="1" applyBorder="1" applyAlignment="1" applyProtection="1">
      <alignment horizontal="center"/>
      <protection hidden="1"/>
    </xf>
    <xf numFmtId="2" fontId="20" fillId="6" borderId="47" xfId="0" applyNumberFormat="1" applyFont="1" applyFill="1" applyBorder="1" applyProtection="1">
      <protection hidden="1"/>
    </xf>
    <xf numFmtId="165" fontId="20" fillId="6" borderId="0" xfId="0" applyNumberFormat="1" applyFont="1" applyFill="1" applyProtection="1">
      <protection hidden="1"/>
    </xf>
    <xf numFmtId="0" fontId="9" fillId="6" borderId="19" xfId="0" applyFont="1" applyFill="1" applyBorder="1" applyProtection="1">
      <protection hidden="1"/>
    </xf>
    <xf numFmtId="14" fontId="20" fillId="6" borderId="19" xfId="0" applyNumberFormat="1" applyFont="1" applyFill="1" applyBorder="1" applyAlignment="1" applyProtection="1">
      <alignment horizontal="center"/>
      <protection hidden="1"/>
    </xf>
    <xf numFmtId="0" fontId="21" fillId="6" borderId="0" xfId="0" applyFont="1" applyFill="1" applyAlignment="1" applyProtection="1">
      <alignment horizontal="center"/>
      <protection hidden="1"/>
    </xf>
    <xf numFmtId="0" fontId="44" fillId="6" borderId="0" xfId="0" applyFont="1" applyFill="1" applyAlignment="1" applyProtection="1">
      <alignment horizontal="left"/>
      <protection hidden="1"/>
    </xf>
    <xf numFmtId="2" fontId="39" fillId="6" borderId="0" xfId="0" applyNumberFormat="1" applyFont="1" applyFill="1" applyAlignment="1" applyProtection="1">
      <alignment horizontal="center" vertical="center"/>
      <protection hidden="1"/>
    </xf>
    <xf numFmtId="0" fontId="39" fillId="6" borderId="0" xfId="0" applyFont="1" applyFill="1" applyAlignment="1" applyProtection="1">
      <alignment horizontal="center" vertical="center"/>
      <protection hidden="1"/>
    </xf>
    <xf numFmtId="165" fontId="39" fillId="6" borderId="0" xfId="0" applyNumberFormat="1" applyFont="1" applyFill="1" applyAlignment="1" applyProtection="1">
      <alignment horizontal="center" vertical="center"/>
      <protection hidden="1"/>
    </xf>
    <xf numFmtId="0" fontId="45" fillId="0" borderId="0" xfId="2" applyFont="1"/>
    <xf numFmtId="0" fontId="39" fillId="6" borderId="0" xfId="0" applyFont="1" applyFill="1" applyAlignment="1" applyProtection="1">
      <alignment horizontal="center" vertical="center"/>
      <protection locked="0" hidden="1"/>
    </xf>
    <xf numFmtId="1" fontId="20" fillId="6" borderId="0" xfId="0" applyNumberFormat="1" applyFont="1" applyFill="1" applyAlignment="1" applyProtection="1">
      <alignment horizontal="left"/>
      <protection hidden="1"/>
    </xf>
    <xf numFmtId="0" fontId="46" fillId="6" borderId="0" xfId="0" applyFont="1" applyFill="1" applyProtection="1">
      <protection hidden="1"/>
    </xf>
    <xf numFmtId="164" fontId="21" fillId="6" borderId="0" xfId="0" applyNumberFormat="1" applyFont="1" applyFill="1" applyAlignment="1" applyProtection="1">
      <alignment horizontal="center" vertical="center"/>
      <protection hidden="1"/>
    </xf>
    <xf numFmtId="164" fontId="20" fillId="6" borderId="0" xfId="0" applyNumberFormat="1" applyFont="1" applyFill="1" applyAlignment="1" applyProtection="1">
      <alignment horizontal="center"/>
      <protection hidden="1"/>
    </xf>
    <xf numFmtId="0" fontId="20" fillId="6" borderId="0" xfId="0" applyFont="1" applyFill="1" applyAlignment="1" applyProtection="1">
      <alignment horizontal="right"/>
      <protection hidden="1"/>
    </xf>
    <xf numFmtId="164" fontId="20" fillId="0" borderId="0" xfId="0" applyNumberFormat="1" applyFont="1" applyAlignment="1" applyProtection="1">
      <alignment horizontal="center"/>
      <protection hidden="1"/>
    </xf>
    <xf numFmtId="0" fontId="9" fillId="6" borderId="7" xfId="0" applyFont="1" applyFill="1" applyBorder="1" applyAlignment="1" applyProtection="1">
      <alignment horizontal="left"/>
      <protection hidden="1"/>
    </xf>
    <xf numFmtId="0" fontId="9" fillId="6" borderId="0" xfId="0" applyFont="1" applyFill="1" applyAlignment="1" applyProtection="1">
      <alignment horizontal="left"/>
      <protection hidden="1"/>
    </xf>
    <xf numFmtId="3" fontId="9" fillId="6" borderId="0" xfId="0" applyNumberFormat="1" applyFont="1" applyFill="1" applyAlignment="1" applyProtection="1">
      <alignment horizontal="center"/>
      <protection hidden="1"/>
    </xf>
    <xf numFmtId="2" fontId="9" fillId="6" borderId="0" xfId="0" applyNumberFormat="1" applyFont="1" applyFill="1" applyAlignment="1" applyProtection="1">
      <alignment horizontal="center"/>
      <protection hidden="1"/>
    </xf>
    <xf numFmtId="3" fontId="20" fillId="6" borderId="0" xfId="0" applyNumberFormat="1" applyFont="1" applyFill="1" applyAlignment="1" applyProtection="1">
      <alignment horizontal="right"/>
      <protection hidden="1"/>
    </xf>
    <xf numFmtId="3" fontId="20" fillId="6" borderId="0" xfId="0" applyNumberFormat="1" applyFont="1" applyFill="1" applyAlignment="1" applyProtection="1">
      <alignment horizontal="left"/>
      <protection hidden="1"/>
    </xf>
    <xf numFmtId="1" fontId="9" fillId="6" borderId="0" xfId="0" applyNumberFormat="1" applyFont="1" applyFill="1" applyAlignment="1" applyProtection="1">
      <alignment horizontal="center"/>
      <protection hidden="1"/>
    </xf>
    <xf numFmtId="0" fontId="9" fillId="6" borderId="7" xfId="0" applyFont="1" applyFill="1" applyBorder="1" applyProtection="1">
      <protection hidden="1"/>
    </xf>
    <xf numFmtId="0" fontId="47" fillId="6" borderId="0" xfId="0" applyFont="1" applyFill="1" applyProtection="1">
      <protection hidden="1"/>
    </xf>
    <xf numFmtId="0" fontId="20" fillId="10" borderId="24" xfId="0" applyFont="1" applyFill="1" applyBorder="1" applyProtection="1">
      <protection hidden="1"/>
    </xf>
    <xf numFmtId="0" fontId="20" fillId="10" borderId="25" xfId="0" applyFont="1" applyFill="1" applyBorder="1" applyProtection="1">
      <protection hidden="1"/>
    </xf>
    <xf numFmtId="0" fontId="9" fillId="10" borderId="42" xfId="0" applyFont="1" applyFill="1" applyBorder="1" applyProtection="1">
      <protection hidden="1"/>
    </xf>
    <xf numFmtId="0" fontId="20" fillId="10" borderId="0" xfId="0" applyFont="1" applyFill="1" applyProtection="1">
      <protection hidden="1"/>
    </xf>
    <xf numFmtId="0" fontId="20" fillId="10" borderId="43" xfId="0" applyFont="1" applyFill="1" applyBorder="1" applyProtection="1">
      <protection hidden="1"/>
    </xf>
    <xf numFmtId="0" fontId="9" fillId="10" borderId="45" xfId="0" applyFont="1" applyFill="1" applyBorder="1" applyProtection="1">
      <protection hidden="1"/>
    </xf>
    <xf numFmtId="0" fontId="20" fillId="10" borderId="19" xfId="0" applyFont="1" applyFill="1" applyBorder="1" applyProtection="1">
      <protection hidden="1"/>
    </xf>
    <xf numFmtId="0" fontId="20" fillId="10" borderId="44" xfId="0" applyFont="1" applyFill="1" applyBorder="1" applyProtection="1">
      <protection hidden="1"/>
    </xf>
    <xf numFmtId="0" fontId="20" fillId="6" borderId="42" xfId="0" applyFont="1" applyFill="1" applyBorder="1" applyProtection="1">
      <protection hidden="1"/>
    </xf>
    <xf numFmtId="0" fontId="20" fillId="6" borderId="43" xfId="0" applyFont="1" applyFill="1" applyBorder="1" applyProtection="1">
      <protection hidden="1"/>
    </xf>
    <xf numFmtId="0" fontId="20" fillId="3" borderId="42" xfId="0" applyFont="1" applyFill="1" applyBorder="1" applyProtection="1">
      <protection hidden="1"/>
    </xf>
    <xf numFmtId="0" fontId="20" fillId="3" borderId="11" xfId="0" applyFont="1" applyFill="1" applyBorder="1" applyAlignment="1" applyProtection="1">
      <alignment horizontal="center"/>
      <protection hidden="1"/>
    </xf>
    <xf numFmtId="0" fontId="20" fillId="0" borderId="46" xfId="0" applyFont="1" applyBorder="1" applyAlignment="1" applyProtection="1">
      <alignment horizontal="center" vertical="center"/>
      <protection hidden="1"/>
    </xf>
    <xf numFmtId="1" fontId="20" fillId="0" borderId="15" xfId="0" applyNumberFormat="1" applyFont="1" applyBorder="1" applyAlignment="1" applyProtection="1">
      <alignment horizontal="center"/>
      <protection hidden="1"/>
    </xf>
    <xf numFmtId="0" fontId="9" fillId="6" borderId="42" xfId="0" applyFont="1" applyFill="1" applyBorder="1" applyAlignment="1" applyProtection="1">
      <alignment horizontal="left"/>
      <protection hidden="1"/>
    </xf>
    <xf numFmtId="0" fontId="48" fillId="6" borderId="0" xfId="0" applyFont="1" applyFill="1" applyAlignment="1" applyProtection="1">
      <alignment horizontal="right"/>
      <protection hidden="1"/>
    </xf>
    <xf numFmtId="0" fontId="20" fillId="6" borderId="26" xfId="0" applyFont="1" applyFill="1" applyBorder="1" applyProtection="1">
      <protection hidden="1"/>
    </xf>
    <xf numFmtId="0" fontId="20" fillId="6" borderId="27" xfId="0" applyFont="1" applyFill="1" applyBorder="1" applyProtection="1">
      <protection hidden="1"/>
    </xf>
    <xf numFmtId="0" fontId="20" fillId="6" borderId="28" xfId="0" applyFont="1" applyFill="1" applyBorder="1" applyProtection="1">
      <protection hidden="1"/>
    </xf>
    <xf numFmtId="0" fontId="20" fillId="9" borderId="23" xfId="0" applyFont="1" applyFill="1" applyBorder="1" applyProtection="1">
      <protection hidden="1"/>
    </xf>
    <xf numFmtId="0" fontId="20" fillId="9" borderId="24" xfId="0" applyFont="1" applyFill="1" applyBorder="1" applyProtection="1">
      <protection hidden="1"/>
    </xf>
    <xf numFmtId="0" fontId="20" fillId="9" borderId="25" xfId="0" applyFont="1" applyFill="1" applyBorder="1" applyProtection="1">
      <protection hidden="1"/>
    </xf>
    <xf numFmtId="0" fontId="9" fillId="9" borderId="42" xfId="0" applyFont="1" applyFill="1" applyBorder="1" applyProtection="1">
      <protection hidden="1"/>
    </xf>
    <xf numFmtId="0" fontId="20" fillId="9" borderId="0" xfId="0" applyFont="1" applyFill="1" applyProtection="1">
      <protection hidden="1"/>
    </xf>
    <xf numFmtId="0" fontId="20" fillId="9" borderId="43" xfId="0" applyFont="1" applyFill="1" applyBorder="1" applyProtection="1">
      <protection hidden="1"/>
    </xf>
    <xf numFmtId="0" fontId="20" fillId="9" borderId="42" xfId="0" applyFont="1" applyFill="1" applyBorder="1" applyProtection="1">
      <protection hidden="1"/>
    </xf>
    <xf numFmtId="0" fontId="20" fillId="9" borderId="19" xfId="0" applyFont="1" applyFill="1" applyBorder="1" applyProtection="1">
      <protection hidden="1"/>
    </xf>
    <xf numFmtId="0" fontId="20" fillId="9" borderId="44" xfId="0" applyFont="1" applyFill="1" applyBorder="1" applyProtection="1">
      <protection hidden="1"/>
    </xf>
    <xf numFmtId="1" fontId="20" fillId="0" borderId="15" xfId="0" applyNumberFormat="1" applyFont="1" applyBorder="1" applyAlignment="1" applyProtection="1">
      <alignment horizontal="center" vertical="center"/>
      <protection hidden="1"/>
    </xf>
    <xf numFmtId="0" fontId="20" fillId="0" borderId="42" xfId="0" applyFont="1" applyBorder="1" applyAlignment="1" applyProtection="1">
      <alignment horizontal="center" vertical="center"/>
      <protection hidden="1"/>
    </xf>
    <xf numFmtId="3" fontId="20" fillId="6" borderId="0" xfId="0" applyNumberFormat="1" applyFont="1" applyFill="1" applyAlignment="1" applyProtection="1">
      <alignment vertical="center"/>
      <protection hidden="1"/>
    </xf>
    <xf numFmtId="3" fontId="20" fillId="6" borderId="43" xfId="0" applyNumberFormat="1" applyFont="1" applyFill="1" applyBorder="1" applyAlignment="1" applyProtection="1">
      <alignment horizontal="center" vertical="center"/>
      <protection hidden="1"/>
    </xf>
    <xf numFmtId="0" fontId="9" fillId="6" borderId="26" xfId="0" applyFont="1" applyFill="1" applyBorder="1" applyAlignment="1" applyProtection="1">
      <alignment horizontal="center"/>
      <protection hidden="1"/>
    </xf>
    <xf numFmtId="0" fontId="9" fillId="6" borderId="27" xfId="0" applyFont="1" applyFill="1" applyBorder="1" applyAlignment="1" applyProtection="1">
      <alignment horizontal="center"/>
      <protection hidden="1"/>
    </xf>
    <xf numFmtId="0" fontId="9" fillId="6" borderId="28" xfId="0" applyFont="1" applyFill="1" applyBorder="1" applyAlignment="1" applyProtection="1">
      <alignment horizontal="center"/>
      <protection hidden="1"/>
    </xf>
    <xf numFmtId="0" fontId="9" fillId="0" borderId="53" xfId="0" applyFont="1" applyBorder="1" applyAlignment="1">
      <alignment vertical="center"/>
    </xf>
    <xf numFmtId="0" fontId="9" fillId="0" borderId="54" xfId="0" applyFont="1" applyBorder="1" applyAlignment="1">
      <alignment vertical="center"/>
    </xf>
    <xf numFmtId="0" fontId="49" fillId="0" borderId="54" xfId="0" applyFont="1" applyBorder="1" applyAlignment="1">
      <alignment horizontal="right" vertical="center"/>
    </xf>
    <xf numFmtId="0" fontId="9" fillId="0" borderId="56" xfId="0" applyFont="1" applyBorder="1" applyAlignment="1">
      <alignment vertical="center"/>
    </xf>
    <xf numFmtId="0" fontId="9" fillId="0" borderId="57" xfId="0" applyFont="1" applyBorder="1" applyAlignment="1">
      <alignment vertical="center"/>
    </xf>
    <xf numFmtId="0" fontId="49" fillId="0" borderId="57" xfId="0" applyFont="1" applyBorder="1" applyAlignment="1">
      <alignment horizontal="right" vertical="center"/>
    </xf>
    <xf numFmtId="0" fontId="9" fillId="0" borderId="58" xfId="0" applyFont="1" applyBorder="1" applyAlignment="1">
      <alignment vertical="center"/>
    </xf>
    <xf numFmtId="0" fontId="9" fillId="0" borderId="59" xfId="0" applyFont="1" applyBorder="1" applyAlignment="1">
      <alignment vertical="center"/>
    </xf>
    <xf numFmtId="0" fontId="49" fillId="0" borderId="59" xfId="0" applyFont="1" applyBorder="1" applyAlignment="1">
      <alignment horizontal="right" vertical="center"/>
    </xf>
    <xf numFmtId="0" fontId="49" fillId="0" borderId="59" xfId="0" applyFont="1" applyBorder="1" applyAlignment="1">
      <alignment horizontal="center" vertical="center"/>
    </xf>
    <xf numFmtId="1" fontId="50" fillId="7" borderId="16" xfId="0" applyNumberFormat="1" applyFont="1" applyFill="1" applyBorder="1" applyAlignment="1" applyProtection="1">
      <alignment horizontal="center" vertical="center"/>
      <protection locked="0" hidden="1"/>
    </xf>
    <xf numFmtId="1" fontId="49" fillId="0" borderId="54" xfId="0" applyNumberFormat="1" applyFont="1" applyBorder="1" applyAlignment="1">
      <alignment horizontal="center" vertical="center"/>
    </xf>
    <xf numFmtId="0" fontId="49" fillId="0" borderId="0" xfId="0" applyFont="1" applyAlignment="1">
      <alignment horizontal="left" vertical="center"/>
    </xf>
    <xf numFmtId="1" fontId="49" fillId="0" borderId="57" xfId="0" applyNumberFormat="1" applyFont="1" applyBorder="1" applyAlignment="1">
      <alignment horizontal="center" vertical="center"/>
    </xf>
    <xf numFmtId="0" fontId="1" fillId="0" borderId="7" xfId="0" applyFont="1" applyBorder="1" applyAlignment="1">
      <alignment horizontal="center"/>
    </xf>
    <xf numFmtId="0" fontId="52" fillId="6" borderId="0" xfId="0" applyFont="1" applyFill="1" applyAlignment="1" applyProtection="1">
      <alignment horizontal="left"/>
      <protection hidden="1"/>
    </xf>
    <xf numFmtId="0" fontId="53" fillId="6" borderId="0" xfId="0" applyFont="1" applyFill="1" applyAlignment="1" applyProtection="1">
      <alignment horizontal="left"/>
      <protection hidden="1"/>
    </xf>
    <xf numFmtId="0" fontId="1" fillId="6" borderId="42" xfId="0" applyFont="1" applyFill="1" applyBorder="1" applyAlignment="1" applyProtection="1">
      <alignment horizontal="left"/>
      <protection hidden="1"/>
    </xf>
    <xf numFmtId="0" fontId="51" fillId="4" borderId="0" xfId="0" applyFont="1" applyFill="1" applyProtection="1">
      <protection hidden="1"/>
    </xf>
    <xf numFmtId="0" fontId="52" fillId="6" borderId="0" xfId="0" applyFont="1" applyFill="1" applyAlignment="1" applyProtection="1">
      <alignment wrapText="1"/>
      <protection hidden="1"/>
    </xf>
    <xf numFmtId="0" fontId="52" fillId="6" borderId="0" xfId="0" applyFont="1" applyFill="1" applyAlignment="1" applyProtection="1">
      <alignment vertical="top" wrapText="1"/>
      <protection hidden="1"/>
    </xf>
    <xf numFmtId="0" fontId="9" fillId="0" borderId="46" xfId="0" applyFont="1" applyBorder="1" applyAlignment="1" applyProtection="1">
      <alignment horizontal="center" vertical="center"/>
      <protection hidden="1"/>
    </xf>
    <xf numFmtId="0" fontId="9" fillId="0" borderId="15" xfId="0" applyFont="1" applyBorder="1" applyAlignment="1" applyProtection="1">
      <alignment horizontal="center" vertical="center"/>
      <protection hidden="1"/>
    </xf>
    <xf numFmtId="1" fontId="41" fillId="6" borderId="0" xfId="0" applyNumberFormat="1" applyFont="1" applyFill="1" applyAlignment="1" applyProtection="1">
      <alignment horizontal="center" vertical="center"/>
      <protection hidden="1"/>
    </xf>
    <xf numFmtId="0" fontId="20" fillId="6" borderId="61" xfId="0" applyFont="1" applyFill="1" applyBorder="1" applyProtection="1">
      <protection hidden="1"/>
    </xf>
    <xf numFmtId="0" fontId="9" fillId="3" borderId="7" xfId="0" applyFont="1" applyFill="1" applyBorder="1"/>
    <xf numFmtId="0" fontId="9" fillId="3" borderId="7" xfId="0" applyFont="1" applyFill="1" applyBorder="1" applyAlignment="1">
      <alignment horizontal="left"/>
    </xf>
    <xf numFmtId="3" fontId="20" fillId="0" borderId="7" xfId="0" applyNumberFormat="1" applyFont="1" applyBorder="1" applyAlignment="1">
      <alignment horizontal="center"/>
    </xf>
    <xf numFmtId="2" fontId="20" fillId="0" borderId="7" xfId="0" applyNumberFormat="1" applyFont="1" applyBorder="1" applyAlignment="1">
      <alignment horizontal="center"/>
    </xf>
    <xf numFmtId="3" fontId="20" fillId="0" borderId="0" xfId="0" applyNumberFormat="1" applyFont="1"/>
    <xf numFmtId="0" fontId="20" fillId="3" borderId="7" xfId="0" applyFont="1" applyFill="1" applyBorder="1" applyAlignment="1">
      <alignment horizontal="center"/>
    </xf>
    <xf numFmtId="0" fontId="26" fillId="3" borderId="7" xfId="0" applyFont="1" applyFill="1" applyBorder="1"/>
    <xf numFmtId="0" fontId="54" fillId="3" borderId="7" xfId="0" applyFont="1" applyFill="1" applyBorder="1"/>
    <xf numFmtId="14" fontId="39" fillId="7" borderId="16" xfId="0" applyNumberFormat="1" applyFont="1" applyFill="1" applyBorder="1" applyAlignment="1" applyProtection="1">
      <alignment horizontal="center" vertical="center"/>
      <protection locked="0" hidden="1"/>
    </xf>
    <xf numFmtId="0" fontId="0" fillId="5" borderId="0" xfId="0" applyFill="1" applyAlignment="1" applyProtection="1">
      <alignment horizontal="center"/>
      <protection hidden="1"/>
    </xf>
    <xf numFmtId="0" fontId="20" fillId="5" borderId="0" xfId="0" applyFont="1" applyFill="1" applyAlignment="1" applyProtection="1">
      <alignment horizontal="center"/>
      <protection hidden="1"/>
    </xf>
    <xf numFmtId="0" fontId="52" fillId="6" borderId="0" xfId="0" applyFont="1" applyFill="1" applyAlignment="1" applyProtection="1">
      <alignment horizontal="left" vertical="center"/>
      <protection hidden="1"/>
    </xf>
    <xf numFmtId="0" fontId="20" fillId="6" borderId="0" xfId="0" applyFont="1" applyFill="1" applyAlignment="1" applyProtection="1">
      <alignment vertical="center"/>
      <protection hidden="1"/>
    </xf>
    <xf numFmtId="0" fontId="0" fillId="0" borderId="0" xfId="0" applyAlignment="1" applyProtection="1">
      <alignment vertical="center"/>
      <protection hidden="1"/>
    </xf>
    <xf numFmtId="0" fontId="52" fillId="6" borderId="0" xfId="0" applyFont="1" applyFill="1" applyAlignment="1" applyProtection="1">
      <alignment vertical="center" wrapText="1"/>
      <protection hidden="1"/>
    </xf>
    <xf numFmtId="0" fontId="17" fillId="6" borderId="0" xfId="0" applyFont="1" applyFill="1" applyAlignment="1" applyProtection="1">
      <alignment vertical="center"/>
      <protection hidden="1"/>
    </xf>
    <xf numFmtId="0" fontId="9" fillId="6" borderId="0" xfId="0" applyFont="1" applyFill="1" applyAlignment="1" applyProtection="1">
      <alignment horizontal="center"/>
      <protection locked="0" hidden="1"/>
    </xf>
    <xf numFmtId="0" fontId="36" fillId="6" borderId="0" xfId="0" applyFont="1" applyFill="1" applyProtection="1">
      <protection hidden="1"/>
    </xf>
    <xf numFmtId="164" fontId="39" fillId="7" borderId="16" xfId="0" applyNumberFormat="1" applyFont="1" applyFill="1" applyBorder="1" applyAlignment="1" applyProtection="1">
      <alignment horizontal="center" vertical="center"/>
      <protection locked="0" hidden="1"/>
    </xf>
    <xf numFmtId="0" fontId="17" fillId="6" borderId="0" xfId="0" applyFont="1" applyFill="1" applyAlignment="1" applyProtection="1">
      <alignment horizontal="left" vertical="top" wrapText="1"/>
      <protection hidden="1"/>
    </xf>
    <xf numFmtId="0" fontId="17" fillId="6" borderId="0" xfId="0" applyFont="1" applyFill="1" applyAlignment="1" applyProtection="1">
      <alignment horizontal="left" vertical="center" wrapText="1"/>
      <protection hidden="1"/>
    </xf>
    <xf numFmtId="0" fontId="52" fillId="6" borderId="0" xfId="0" applyFont="1" applyFill="1" applyAlignment="1" applyProtection="1">
      <alignment horizontal="left" vertical="center" wrapText="1"/>
      <protection hidden="1"/>
    </xf>
    <xf numFmtId="0" fontId="1" fillId="6" borderId="31" xfId="0" applyFont="1" applyFill="1" applyBorder="1" applyAlignment="1">
      <alignment horizontal="center" vertical="center" wrapText="1"/>
    </xf>
    <xf numFmtId="0" fontId="1" fillId="6" borderId="33" xfId="0" applyFont="1" applyFill="1" applyBorder="1" applyAlignment="1">
      <alignment horizontal="center" vertical="center" wrapText="1"/>
    </xf>
    <xf numFmtId="2" fontId="20" fillId="6" borderId="14" xfId="0" applyNumberFormat="1" applyFont="1" applyFill="1" applyBorder="1" applyAlignment="1" applyProtection="1">
      <alignment horizontal="center"/>
      <protection hidden="1"/>
    </xf>
    <xf numFmtId="2" fontId="20" fillId="6" borderId="15" xfId="0" applyNumberFormat="1" applyFont="1" applyFill="1" applyBorder="1" applyAlignment="1" applyProtection="1">
      <alignment horizontal="center"/>
      <protection hidden="1"/>
    </xf>
    <xf numFmtId="3" fontId="20" fillId="6" borderId="14" xfId="0" applyNumberFormat="1" applyFont="1" applyFill="1" applyBorder="1" applyAlignment="1" applyProtection="1">
      <alignment horizontal="center"/>
      <protection hidden="1"/>
    </xf>
    <xf numFmtId="3" fontId="20" fillId="6" borderId="15" xfId="0" applyNumberFormat="1" applyFont="1" applyFill="1" applyBorder="1" applyAlignment="1" applyProtection="1">
      <alignment horizontal="center"/>
      <protection hidden="1"/>
    </xf>
    <xf numFmtId="0" fontId="0" fillId="0" borderId="7" xfId="0" applyBorder="1" applyAlignment="1">
      <alignment horizontal="center"/>
    </xf>
    <xf numFmtId="0" fontId="9" fillId="3" borderId="14" xfId="0" applyFont="1" applyFill="1" applyBorder="1" applyAlignment="1" applyProtection="1">
      <alignment horizontal="center"/>
      <protection hidden="1"/>
    </xf>
    <xf numFmtId="0" fontId="9" fillId="3" borderId="15" xfId="0" applyFont="1" applyFill="1" applyBorder="1" applyAlignment="1" applyProtection="1">
      <alignment horizontal="center"/>
      <protection hidden="1"/>
    </xf>
    <xf numFmtId="2" fontId="9" fillId="6" borderId="14" xfId="0" applyNumberFormat="1" applyFont="1" applyFill="1" applyBorder="1" applyAlignment="1" applyProtection="1">
      <alignment horizontal="center"/>
      <protection hidden="1"/>
    </xf>
    <xf numFmtId="2" fontId="9" fillId="6" borderId="15" xfId="0" applyNumberFormat="1" applyFont="1" applyFill="1" applyBorder="1" applyAlignment="1" applyProtection="1">
      <alignment horizontal="center"/>
      <protection hidden="1"/>
    </xf>
    <xf numFmtId="1" fontId="9" fillId="6" borderId="14" xfId="0" applyNumberFormat="1" applyFont="1" applyFill="1" applyBorder="1" applyAlignment="1" applyProtection="1">
      <alignment horizontal="center"/>
      <protection hidden="1"/>
    </xf>
    <xf numFmtId="1" fontId="9" fillId="6" borderId="15" xfId="0" applyNumberFormat="1" applyFont="1" applyFill="1" applyBorder="1" applyAlignment="1" applyProtection="1">
      <alignment horizontal="center"/>
      <protection hidden="1"/>
    </xf>
    <xf numFmtId="3" fontId="9" fillId="6" borderId="0" xfId="0" applyNumberFormat="1" applyFont="1" applyFill="1" applyAlignment="1" applyProtection="1">
      <alignment horizontal="center"/>
      <protection hidden="1"/>
    </xf>
    <xf numFmtId="3" fontId="9" fillId="6" borderId="10" xfId="0" applyNumberFormat="1" applyFont="1" applyFill="1" applyBorder="1" applyAlignment="1" applyProtection="1">
      <alignment horizontal="center"/>
      <protection hidden="1"/>
    </xf>
    <xf numFmtId="2" fontId="9" fillId="6" borderId="0" xfId="0" applyNumberFormat="1" applyFont="1" applyFill="1" applyAlignment="1" applyProtection="1">
      <alignment horizontal="center"/>
      <protection hidden="1"/>
    </xf>
    <xf numFmtId="3" fontId="9" fillId="6" borderId="14" xfId="0" applyNumberFormat="1" applyFont="1" applyFill="1" applyBorder="1" applyAlignment="1" applyProtection="1">
      <alignment horizontal="center"/>
      <protection hidden="1"/>
    </xf>
    <xf numFmtId="3" fontId="9" fillId="6" borderId="15" xfId="0" applyNumberFormat="1" applyFont="1" applyFill="1" applyBorder="1" applyAlignment="1" applyProtection="1">
      <alignment horizontal="center"/>
      <protection hidden="1"/>
    </xf>
    <xf numFmtId="1" fontId="20" fillId="6" borderId="14" xfId="0" applyNumberFormat="1" applyFont="1" applyFill="1" applyBorder="1" applyAlignment="1" applyProtection="1">
      <alignment horizontal="center"/>
      <protection hidden="1"/>
    </xf>
    <xf numFmtId="1" fontId="20" fillId="6" borderId="15" xfId="0" applyNumberFormat="1" applyFont="1" applyFill="1" applyBorder="1" applyAlignment="1" applyProtection="1">
      <alignment horizontal="center"/>
      <protection hidden="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34"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19" fillId="8" borderId="0" xfId="0" applyFont="1" applyFill="1" applyAlignment="1">
      <alignment horizontal="center"/>
    </xf>
    <xf numFmtId="0" fontId="9" fillId="6" borderId="0" xfId="0" applyFont="1" applyFill="1" applyAlignment="1" applyProtection="1">
      <alignment horizontal="center" vertical="center"/>
      <protection hidden="1"/>
    </xf>
    <xf numFmtId="0" fontId="9" fillId="6" borderId="43"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wrapText="1"/>
      <protection hidden="1"/>
    </xf>
    <xf numFmtId="0" fontId="9" fillId="9" borderId="24" xfId="0" applyFont="1" applyFill="1" applyBorder="1" applyAlignment="1" applyProtection="1">
      <alignment horizontal="center" vertical="center" wrapText="1"/>
      <protection hidden="1"/>
    </xf>
    <xf numFmtId="0" fontId="9" fillId="9" borderId="26" xfId="0" applyFont="1" applyFill="1" applyBorder="1" applyAlignment="1" applyProtection="1">
      <alignment horizontal="center" vertical="center" wrapText="1"/>
      <protection hidden="1"/>
    </xf>
    <xf numFmtId="0" fontId="9" fillId="9" borderId="27" xfId="0" applyFont="1" applyFill="1" applyBorder="1" applyAlignment="1" applyProtection="1">
      <alignment horizontal="center" vertical="center" wrapText="1"/>
      <protection hidden="1"/>
    </xf>
    <xf numFmtId="9" fontId="9" fillId="0" borderId="7" xfId="1" applyFont="1" applyBorder="1" applyAlignment="1" applyProtection="1">
      <alignment horizontal="center" vertical="center"/>
      <protection hidden="1"/>
    </xf>
    <xf numFmtId="0" fontId="9" fillId="3" borderId="7" xfId="0" applyFont="1" applyFill="1" applyBorder="1" applyAlignment="1" applyProtection="1">
      <alignment horizontal="center"/>
      <protection hidden="1"/>
    </xf>
    <xf numFmtId="0" fontId="53" fillId="0" borderId="7" xfId="0" applyFont="1" applyBorder="1" applyAlignment="1" applyProtection="1">
      <alignment horizontal="center" vertical="center" wrapText="1"/>
      <protection hidden="1"/>
    </xf>
    <xf numFmtId="3" fontId="20" fillId="0" borderId="7" xfId="0" applyNumberFormat="1" applyFont="1" applyBorder="1" applyAlignment="1" applyProtection="1">
      <alignment horizontal="center" vertical="center"/>
      <protection hidden="1"/>
    </xf>
    <xf numFmtId="0" fontId="53" fillId="0" borderId="5" xfId="0" applyFont="1" applyBorder="1" applyAlignment="1" applyProtection="1">
      <alignment horizontal="center" vertical="center" wrapText="1"/>
      <protection hidden="1"/>
    </xf>
    <xf numFmtId="0" fontId="9" fillId="3" borderId="5" xfId="0" applyFont="1" applyFill="1" applyBorder="1" applyAlignment="1" applyProtection="1">
      <alignment horizontal="center"/>
      <protection hidden="1"/>
    </xf>
    <xf numFmtId="3" fontId="20" fillId="0" borderId="5" xfId="0" applyNumberFormat="1" applyFont="1" applyBorder="1" applyAlignment="1" applyProtection="1">
      <alignment horizontal="center" vertical="center"/>
      <protection hidden="1"/>
    </xf>
    <xf numFmtId="2" fontId="20" fillId="0" borderId="7" xfId="0" applyNumberFormat="1" applyFont="1" applyBorder="1" applyAlignment="1" applyProtection="1">
      <alignment horizontal="center"/>
      <protection hidden="1"/>
    </xf>
    <xf numFmtId="3" fontId="9" fillId="0" borderId="7" xfId="0" applyNumberFormat="1" applyFont="1" applyBorder="1" applyAlignment="1" applyProtection="1">
      <alignment horizontal="center" vertical="center"/>
      <protection hidden="1"/>
    </xf>
    <xf numFmtId="0" fontId="39" fillId="7" borderId="16" xfId="0" applyFont="1" applyFill="1" applyBorder="1" applyAlignment="1" applyProtection="1">
      <alignment horizontal="center" vertical="center"/>
      <protection locked="0" hidden="1"/>
    </xf>
    <xf numFmtId="1" fontId="39" fillId="6" borderId="47" xfId="0" applyNumberFormat="1" applyFont="1" applyFill="1" applyBorder="1" applyAlignment="1" applyProtection="1">
      <alignment horizontal="center" vertical="center"/>
      <protection hidden="1"/>
    </xf>
    <xf numFmtId="2" fontId="39" fillId="6" borderId="0" xfId="0" applyNumberFormat="1" applyFont="1" applyFill="1" applyAlignment="1" applyProtection="1">
      <alignment horizontal="center" vertical="center"/>
      <protection hidden="1"/>
    </xf>
    <xf numFmtId="1" fontId="20" fillId="6" borderId="47" xfId="0" applyNumberFormat="1" applyFont="1" applyFill="1" applyBorder="1" applyAlignment="1" applyProtection="1">
      <alignment horizontal="center"/>
      <protection hidden="1"/>
    </xf>
    <xf numFmtId="0" fontId="39" fillId="7" borderId="20" xfId="0" applyFont="1" applyFill="1" applyBorder="1" applyAlignment="1" applyProtection="1">
      <alignment horizontal="center" vertical="center"/>
      <protection locked="0" hidden="1"/>
    </xf>
    <xf numFmtId="0" fontId="39" fillId="7" borderId="22" xfId="0" applyFont="1" applyFill="1" applyBorder="1" applyAlignment="1" applyProtection="1">
      <alignment horizontal="center" vertical="center"/>
      <protection locked="0" hidden="1"/>
    </xf>
    <xf numFmtId="0" fontId="39" fillId="7" borderId="21" xfId="0" applyFont="1" applyFill="1" applyBorder="1" applyAlignment="1" applyProtection="1">
      <alignment horizontal="center" vertical="center"/>
      <protection locked="0" hidden="1"/>
    </xf>
    <xf numFmtId="0" fontId="9" fillId="10" borderId="23" xfId="0" applyFont="1" applyFill="1" applyBorder="1" applyAlignment="1" applyProtection="1">
      <alignment horizontal="center" vertical="center" wrapText="1"/>
      <protection hidden="1"/>
    </xf>
    <xf numFmtId="0" fontId="9" fillId="10" borderId="24" xfId="0" applyFont="1" applyFill="1" applyBorder="1" applyAlignment="1" applyProtection="1">
      <alignment horizontal="center" vertical="center" wrapText="1"/>
      <protection hidden="1"/>
    </xf>
    <xf numFmtId="0" fontId="9" fillId="10" borderId="26" xfId="0" applyFont="1" applyFill="1" applyBorder="1" applyAlignment="1" applyProtection="1">
      <alignment horizontal="center" vertical="center" wrapText="1"/>
      <protection hidden="1"/>
    </xf>
    <xf numFmtId="0" fontId="9" fillId="10" borderId="27" xfId="0" applyFont="1" applyFill="1" applyBorder="1" applyAlignment="1" applyProtection="1">
      <alignment horizontal="center" vertical="center" wrapText="1"/>
      <protection hidden="1"/>
    </xf>
    <xf numFmtId="0" fontId="21" fillId="6" borderId="0" xfId="0" applyFont="1" applyFill="1" applyAlignment="1" applyProtection="1">
      <alignment horizontal="center"/>
      <protection hidden="1"/>
    </xf>
    <xf numFmtId="2" fontId="20" fillId="0" borderId="5" xfId="0" applyNumberFormat="1" applyFont="1" applyBorder="1" applyAlignment="1" applyProtection="1">
      <alignment horizontal="center"/>
      <protection hidden="1"/>
    </xf>
    <xf numFmtId="0" fontId="56" fillId="11" borderId="51" xfId="0" applyFont="1" applyFill="1" applyBorder="1" applyAlignment="1">
      <alignment horizontal="center" vertical="center"/>
    </xf>
    <xf numFmtId="0" fontId="56" fillId="11" borderId="52" xfId="0" applyFont="1" applyFill="1" applyBorder="1" applyAlignment="1">
      <alignment horizontal="center" vertical="center"/>
    </xf>
    <xf numFmtId="0" fontId="56" fillId="0" borderId="54" xfId="0" applyFont="1" applyBorder="1" applyAlignment="1">
      <alignment horizontal="center" vertical="center"/>
    </xf>
    <xf numFmtId="0" fontId="56" fillId="0" borderId="55" xfId="0" applyFont="1" applyBorder="1" applyAlignment="1">
      <alignment horizontal="center" vertical="center"/>
    </xf>
    <xf numFmtId="0" fontId="49" fillId="0" borderId="60" xfId="0" applyFont="1" applyBorder="1" applyAlignment="1">
      <alignment horizontal="center" vertical="center"/>
    </xf>
  </cellXfs>
  <cellStyles count="3">
    <cellStyle name="Collegamento ipertestuale" xfId="2" builtinId="8"/>
    <cellStyle name="Normale" xfId="0" builtinId="0"/>
    <cellStyle name="Percentuale" xfId="1" builtinId="5"/>
  </cellStyles>
  <dxfs count="17">
    <dxf>
      <font>
        <color rgb="FF9C0006"/>
      </font>
      <fill>
        <patternFill>
          <bgColor rgb="FFFFC7CE"/>
        </patternFill>
      </fill>
    </dxf>
    <dxf>
      <font>
        <color rgb="FF006100"/>
      </font>
      <fill>
        <patternFill>
          <bgColor rgb="FFC6EFCE"/>
        </patternFill>
      </fill>
    </dxf>
    <dxf>
      <font>
        <color theme="0"/>
      </font>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dxf>
    <dxf>
      <font>
        <color theme="0"/>
      </font>
    </dxf>
    <dxf>
      <fill>
        <patternFill>
          <bgColor theme="8" tint="0.79998168889431442"/>
        </patternFill>
      </fill>
      <border>
        <left style="thin">
          <color auto="1"/>
        </left>
        <right style="thin">
          <color auto="1"/>
        </right>
        <top style="thin">
          <color auto="1"/>
        </top>
        <bottom style="thin">
          <color auto="1"/>
        </bottom>
      </border>
    </dxf>
    <dxf>
      <font>
        <color theme="0"/>
      </font>
      <fill>
        <patternFill>
          <bgColor theme="0"/>
        </patternFill>
      </fill>
      <border>
        <left/>
        <right/>
        <top style="thin">
          <color theme="8"/>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border>
    </dxf>
    <dxf>
      <font>
        <color theme="0"/>
      </font>
      <fill>
        <patternFill>
          <bgColor theme="0"/>
        </patternFill>
      </fill>
      <border>
        <left/>
        <right/>
        <top style="thin">
          <color theme="4"/>
        </top>
        <bottom style="thin">
          <color theme="4"/>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patternType="solid">
          <fgColor theme="0"/>
          <bgColor theme="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emf"/><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8" Type="http://schemas.openxmlformats.org/officeDocument/2006/relationships/image" Target="../media/image27.png"/><Relationship Id="rId13" Type="http://schemas.openxmlformats.org/officeDocument/2006/relationships/image" Target="../media/image32.png"/><Relationship Id="rId3" Type="http://schemas.openxmlformats.org/officeDocument/2006/relationships/image" Target="../media/image22.png"/><Relationship Id="rId7" Type="http://schemas.openxmlformats.org/officeDocument/2006/relationships/image" Target="../media/image26.png"/><Relationship Id="rId12" Type="http://schemas.openxmlformats.org/officeDocument/2006/relationships/image" Target="../media/image31.png"/><Relationship Id="rId2" Type="http://schemas.openxmlformats.org/officeDocument/2006/relationships/image" Target="../media/image21.png"/><Relationship Id="rId16" Type="http://schemas.openxmlformats.org/officeDocument/2006/relationships/image" Target="../media/image35.png"/><Relationship Id="rId1" Type="http://schemas.openxmlformats.org/officeDocument/2006/relationships/image" Target="../media/image20.png"/><Relationship Id="rId6" Type="http://schemas.openxmlformats.org/officeDocument/2006/relationships/image" Target="../media/image25.png"/><Relationship Id="rId11" Type="http://schemas.openxmlformats.org/officeDocument/2006/relationships/image" Target="../media/image30.png"/><Relationship Id="rId5" Type="http://schemas.openxmlformats.org/officeDocument/2006/relationships/image" Target="../media/image24.png"/><Relationship Id="rId15" Type="http://schemas.openxmlformats.org/officeDocument/2006/relationships/image" Target="../media/image34.png"/><Relationship Id="rId10" Type="http://schemas.openxmlformats.org/officeDocument/2006/relationships/image" Target="../media/image29.png"/><Relationship Id="rId4" Type="http://schemas.openxmlformats.org/officeDocument/2006/relationships/image" Target="../media/image23.png"/><Relationship Id="rId9" Type="http://schemas.openxmlformats.org/officeDocument/2006/relationships/image" Target="../media/image28.png"/><Relationship Id="rId14" Type="http://schemas.openxmlformats.org/officeDocument/2006/relationships/image" Target="../media/image33.png"/></Relationships>
</file>

<file path=xl/drawings/_rels/drawing3.xml.rels><?xml version="1.0" encoding="UTF-8" standalone="yes"?>
<Relationships xmlns="http://schemas.openxmlformats.org/package/2006/relationships"><Relationship Id="rId8" Type="http://schemas.openxmlformats.org/officeDocument/2006/relationships/image" Target="../media/image43.png"/><Relationship Id="rId13" Type="http://schemas.openxmlformats.org/officeDocument/2006/relationships/image" Target="../media/image48.png"/><Relationship Id="rId3" Type="http://schemas.openxmlformats.org/officeDocument/2006/relationships/image" Target="../media/image38.png"/><Relationship Id="rId7" Type="http://schemas.openxmlformats.org/officeDocument/2006/relationships/image" Target="../media/image42.png"/><Relationship Id="rId12" Type="http://schemas.openxmlformats.org/officeDocument/2006/relationships/image" Target="../media/image47.emf"/><Relationship Id="rId2" Type="http://schemas.openxmlformats.org/officeDocument/2006/relationships/image" Target="../media/image37.png"/><Relationship Id="rId1" Type="http://schemas.openxmlformats.org/officeDocument/2006/relationships/image" Target="../media/image36.png"/><Relationship Id="rId6" Type="http://schemas.openxmlformats.org/officeDocument/2006/relationships/image" Target="../media/image41.png"/><Relationship Id="rId11" Type="http://schemas.openxmlformats.org/officeDocument/2006/relationships/image" Target="../media/image46.png"/><Relationship Id="rId5" Type="http://schemas.openxmlformats.org/officeDocument/2006/relationships/image" Target="../media/image40.png"/><Relationship Id="rId15" Type="http://schemas.openxmlformats.org/officeDocument/2006/relationships/image" Target="../media/image50.png"/><Relationship Id="rId10" Type="http://schemas.openxmlformats.org/officeDocument/2006/relationships/image" Target="../media/image45.png"/><Relationship Id="rId4" Type="http://schemas.openxmlformats.org/officeDocument/2006/relationships/image" Target="../media/image39.png"/><Relationship Id="rId9" Type="http://schemas.openxmlformats.org/officeDocument/2006/relationships/image" Target="../media/image44.png"/><Relationship Id="rId14" Type="http://schemas.openxmlformats.org/officeDocument/2006/relationships/image" Target="../media/image49.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emf"/><Relationship Id="rId1" Type="http://schemas.openxmlformats.org/officeDocument/2006/relationships/image" Target="../media/image13.emf"/><Relationship Id="rId5" Type="http://schemas.openxmlformats.org/officeDocument/2006/relationships/image" Target="../media/image17.emf"/><Relationship Id="rId4" Type="http://schemas.openxmlformats.org/officeDocument/2006/relationships/image" Target="../media/image16.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861749</xdr:colOff>
          <xdr:row>76</xdr:row>
          <xdr:rowOff>176502</xdr:rowOff>
        </xdr:from>
        <xdr:to>
          <xdr:col>20</xdr:col>
          <xdr:colOff>1290807</xdr:colOff>
          <xdr:row>93</xdr:row>
          <xdr:rowOff>34349</xdr:rowOff>
        </xdr:to>
        <xdr:pic>
          <xdr:nvPicPr>
            <xdr:cNvPr id="8" name="Immagine 7">
              <a:extLst>
                <a:ext uri="{FF2B5EF4-FFF2-40B4-BE49-F238E27FC236}">
                  <a16:creationId xmlns:a16="http://schemas.microsoft.com/office/drawing/2014/main" id="{B99B06D1-B8A0-4639-8E4B-1FD4F345B23B}"/>
                </a:ext>
              </a:extLst>
            </xdr:cNvPr>
            <xdr:cNvPicPr>
              <a:picLocks noChangeAspect="1" noChangeArrowheads="1"/>
              <a:extLst>
                <a:ext uri="{84589F7E-364E-4C9E-8A38-B11213B215E9}">
                  <a14:cameraTool cellRange="Lateral_fix" spid="_x0000_s20452"/>
                </a:ext>
              </a:extLst>
            </xdr:cNvPicPr>
          </xdr:nvPicPr>
          <xdr:blipFill rotWithShape="1">
            <a:blip xmlns:r="http://schemas.openxmlformats.org/officeDocument/2006/relationships" r:embed="rId1"/>
            <a:srcRect b="9967"/>
            <a:stretch>
              <a:fillRect/>
            </a:stretch>
          </xdr:blipFill>
          <xdr:spPr bwMode="auto">
            <a:xfrm>
              <a:off x="9257356" y="14654502"/>
              <a:ext cx="5042154" cy="2993962"/>
            </a:xfrm>
            <a:prstGeom prst="rect">
              <a:avLst/>
            </a:prstGeom>
            <a:noFill/>
            <a:ln>
              <a:noFill/>
            </a:ln>
            <a:extLst>
              <a:ext uri="{909E8E84-426E-40DD-AFC4-6F175D3DCCD1}">
                <a14:hiddenFill>
                  <a:solidFill>
                    <a:srgbClr val="FFFFFF"/>
                  </a:solidFill>
                </a14:hiddenFill>
              </a:ext>
            </a:extLst>
          </xdr:spPr>
        </xdr:pic>
        <xdr:clientData/>
      </xdr:twoCellAnchor>
    </mc:Choice>
    <mc:Fallback/>
  </mc:AlternateContent>
  <xdr:twoCellAnchor editAs="oneCell">
    <xdr:from>
      <xdr:col>9</xdr:col>
      <xdr:colOff>95249</xdr:colOff>
      <xdr:row>1</xdr:row>
      <xdr:rowOff>58371</xdr:rowOff>
    </xdr:from>
    <xdr:to>
      <xdr:col>9</xdr:col>
      <xdr:colOff>1489166</xdr:colOff>
      <xdr:row>4</xdr:row>
      <xdr:rowOff>147891</xdr:rowOff>
    </xdr:to>
    <xdr:pic>
      <xdr:nvPicPr>
        <xdr:cNvPr id="10" name="Immagine 9">
          <a:extLst>
            <a:ext uri="{FF2B5EF4-FFF2-40B4-BE49-F238E27FC236}">
              <a16:creationId xmlns:a16="http://schemas.microsoft.com/office/drawing/2014/main" id="{00745FBD-CD62-4EF4-883C-DE976CFFBA9E}"/>
            </a:ext>
          </a:extLst>
        </xdr:cNvPr>
        <xdr:cNvPicPr>
          <a:picLocks noChangeAspect="1"/>
        </xdr:cNvPicPr>
      </xdr:nvPicPr>
      <xdr:blipFill rotWithShape="1">
        <a:blip xmlns:r="http://schemas.openxmlformats.org/officeDocument/2006/relationships" r:embed="rId2"/>
        <a:srcRect l="7792" t="6154" r="5195" b="7679"/>
        <a:stretch/>
      </xdr:blipFill>
      <xdr:spPr>
        <a:xfrm>
          <a:off x="12763499" y="262478"/>
          <a:ext cx="1401537" cy="634078"/>
        </a:xfrm>
        <a:prstGeom prst="rect">
          <a:avLst/>
        </a:prstGeom>
      </xdr:spPr>
    </xdr:pic>
    <xdr:clientData/>
  </xdr:twoCellAnchor>
  <xdr:twoCellAnchor editAs="oneCell">
    <xdr:from>
      <xdr:col>17</xdr:col>
      <xdr:colOff>1066778</xdr:colOff>
      <xdr:row>13</xdr:row>
      <xdr:rowOff>238225</xdr:rowOff>
    </xdr:from>
    <xdr:to>
      <xdr:col>20</xdr:col>
      <xdr:colOff>339155</xdr:colOff>
      <xdr:row>24</xdr:row>
      <xdr:rowOff>148571</xdr:rowOff>
    </xdr:to>
    <xdr:pic>
      <xdr:nvPicPr>
        <xdr:cNvPr id="4" name="Immagine 3">
          <a:extLst>
            <a:ext uri="{FF2B5EF4-FFF2-40B4-BE49-F238E27FC236}">
              <a16:creationId xmlns:a16="http://schemas.microsoft.com/office/drawing/2014/main" id="{5A62EF98-3CE1-41B4-A922-5705B84F554E}"/>
            </a:ext>
          </a:extLst>
        </xdr:cNvPr>
        <xdr:cNvPicPr>
          <a:picLocks noChangeAspect="1"/>
        </xdr:cNvPicPr>
      </xdr:nvPicPr>
      <xdr:blipFill>
        <a:blip xmlns:r="http://schemas.openxmlformats.org/officeDocument/2006/relationships" r:embed="rId3"/>
        <a:stretch>
          <a:fillRect/>
        </a:stretch>
      </xdr:blipFill>
      <xdr:spPr>
        <a:xfrm>
          <a:off x="23438622" y="2893319"/>
          <a:ext cx="1888897" cy="2248256"/>
        </a:xfrm>
        <a:prstGeom prst="rect">
          <a:avLst/>
        </a:prstGeom>
      </xdr:spPr>
    </xdr:pic>
    <xdr:clientData/>
  </xdr:twoCellAnchor>
  <xdr:twoCellAnchor editAs="oneCell">
    <xdr:from>
      <xdr:col>17</xdr:col>
      <xdr:colOff>584465</xdr:colOff>
      <xdr:row>28</xdr:row>
      <xdr:rowOff>27623</xdr:rowOff>
    </xdr:from>
    <xdr:to>
      <xdr:col>20</xdr:col>
      <xdr:colOff>1063601</xdr:colOff>
      <xdr:row>33</xdr:row>
      <xdr:rowOff>73052</xdr:rowOff>
    </xdr:to>
    <xdr:pic>
      <xdr:nvPicPr>
        <xdr:cNvPr id="5" name="Immagine 4">
          <a:extLst>
            <a:ext uri="{FF2B5EF4-FFF2-40B4-BE49-F238E27FC236}">
              <a16:creationId xmlns:a16="http://schemas.microsoft.com/office/drawing/2014/main" id="{9ACEAC12-580A-4615-AE07-966C7426C165}"/>
            </a:ext>
          </a:extLst>
        </xdr:cNvPr>
        <xdr:cNvPicPr>
          <a:picLocks noChangeAspect="1"/>
        </xdr:cNvPicPr>
      </xdr:nvPicPr>
      <xdr:blipFill>
        <a:blip xmlns:r="http://schemas.openxmlformats.org/officeDocument/2006/relationships" r:embed="rId4"/>
        <a:stretch>
          <a:fillRect/>
        </a:stretch>
      </xdr:blipFill>
      <xdr:spPr>
        <a:xfrm>
          <a:off x="22956309" y="5611654"/>
          <a:ext cx="3103276" cy="97250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1151679</xdr:colOff>
          <xdr:row>13</xdr:row>
          <xdr:rowOff>111439</xdr:rowOff>
        </xdr:from>
        <xdr:to>
          <xdr:col>17</xdr:col>
          <xdr:colOff>308226</xdr:colOff>
          <xdr:row>36</xdr:row>
          <xdr:rowOff>72891</xdr:rowOff>
        </xdr:to>
        <xdr:pic>
          <xdr:nvPicPr>
            <xdr:cNvPr id="13" name="Immagine 12">
              <a:extLst>
                <a:ext uri="{FF2B5EF4-FFF2-40B4-BE49-F238E27FC236}">
                  <a16:creationId xmlns:a16="http://schemas.microsoft.com/office/drawing/2014/main" id="{49E64BE5-E50E-ED75-6854-8675F8A9A2DC}"/>
                </a:ext>
              </a:extLst>
            </xdr:cNvPr>
            <xdr:cNvPicPr>
              <a:picLocks noChangeAspect="1" noChangeArrowheads="1"/>
              <a:extLst>
                <a:ext uri="{84589F7E-364E-4C9E-8A38-B11213B215E9}">
                  <a14:cameraTool cellRange="Evo" spid="_x0000_s20453"/>
                </a:ext>
              </a:extLst>
            </xdr:cNvPicPr>
          </xdr:nvPicPr>
          <xdr:blipFill rotWithShape="1">
            <a:blip xmlns:r="http://schemas.openxmlformats.org/officeDocument/2006/relationships" r:embed="rId5"/>
            <a:srcRect t="3974" b="5582"/>
            <a:stretch>
              <a:fillRect/>
            </a:stretch>
          </xdr:blipFill>
          <xdr:spPr bwMode="auto">
            <a:xfrm>
              <a:off x="1736786" y="2492689"/>
              <a:ext cx="8932191" cy="454161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14</xdr:col>
      <xdr:colOff>226220</xdr:colOff>
      <xdr:row>124</xdr:row>
      <xdr:rowOff>63078</xdr:rowOff>
    </xdr:from>
    <xdr:to>
      <xdr:col>16</xdr:col>
      <xdr:colOff>452574</xdr:colOff>
      <xdr:row>135</xdr:row>
      <xdr:rowOff>118010</xdr:rowOff>
    </xdr:to>
    <xdr:pic>
      <xdr:nvPicPr>
        <xdr:cNvPr id="3" name="Immagine 2">
          <a:extLst>
            <a:ext uri="{FF2B5EF4-FFF2-40B4-BE49-F238E27FC236}">
              <a16:creationId xmlns:a16="http://schemas.microsoft.com/office/drawing/2014/main" id="{B4B147BA-544B-8E64-D5B5-F3D7FAF8DAA4}"/>
            </a:ext>
          </a:extLst>
        </xdr:cNvPr>
        <xdr:cNvPicPr>
          <a:picLocks noChangeAspect="1"/>
        </xdr:cNvPicPr>
      </xdr:nvPicPr>
      <xdr:blipFill rotWithShape="1">
        <a:blip xmlns:r="http://schemas.openxmlformats.org/officeDocument/2006/relationships" r:embed="rId6"/>
        <a:srcRect b="5455"/>
        <a:stretch/>
      </xdr:blipFill>
      <xdr:spPr>
        <a:xfrm>
          <a:off x="19240501" y="24197047"/>
          <a:ext cx="2369343" cy="2105730"/>
        </a:xfrm>
        <a:prstGeom prst="rect">
          <a:avLst/>
        </a:prstGeom>
      </xdr:spPr>
    </xdr:pic>
    <xdr:clientData/>
  </xdr:twoCellAnchor>
  <xdr:twoCellAnchor editAs="oneCell">
    <xdr:from>
      <xdr:col>17</xdr:col>
      <xdr:colOff>282548</xdr:colOff>
      <xdr:row>99</xdr:row>
      <xdr:rowOff>77740</xdr:rowOff>
    </xdr:from>
    <xdr:to>
      <xdr:col>18</xdr:col>
      <xdr:colOff>538161</xdr:colOff>
      <xdr:row>113</xdr:row>
      <xdr:rowOff>152</xdr:rowOff>
    </xdr:to>
    <xdr:pic>
      <xdr:nvPicPr>
        <xdr:cNvPr id="9" name="Immagine 8">
          <a:extLst>
            <a:ext uri="{FF2B5EF4-FFF2-40B4-BE49-F238E27FC236}">
              <a16:creationId xmlns:a16="http://schemas.microsoft.com/office/drawing/2014/main" id="{71B58D17-F812-103D-5EB1-D446720444B8}"/>
            </a:ext>
          </a:extLst>
        </xdr:cNvPr>
        <xdr:cNvPicPr>
          <a:picLocks noChangeAspect="1"/>
        </xdr:cNvPicPr>
      </xdr:nvPicPr>
      <xdr:blipFill>
        <a:blip xmlns:r="http://schemas.openxmlformats.org/officeDocument/2006/relationships" r:embed="rId7"/>
        <a:stretch>
          <a:fillRect/>
        </a:stretch>
      </xdr:blipFill>
      <xdr:spPr>
        <a:xfrm>
          <a:off x="10629079" y="19115834"/>
          <a:ext cx="1336701" cy="2697794"/>
        </a:xfrm>
        <a:prstGeom prst="rect">
          <a:avLst/>
        </a:prstGeom>
      </xdr:spPr>
    </xdr:pic>
    <xdr:clientData/>
  </xdr:twoCellAnchor>
  <xdr:twoCellAnchor>
    <xdr:from>
      <xdr:col>23</xdr:col>
      <xdr:colOff>716996</xdr:colOff>
      <xdr:row>43</xdr:row>
      <xdr:rowOff>115900</xdr:rowOff>
    </xdr:from>
    <xdr:to>
      <xdr:col>26</xdr:col>
      <xdr:colOff>134910</xdr:colOff>
      <xdr:row>50</xdr:row>
      <xdr:rowOff>99172</xdr:rowOff>
    </xdr:to>
    <xdr:grpSp>
      <xdr:nvGrpSpPr>
        <xdr:cNvPr id="19" name="Gruppo 18">
          <a:extLst>
            <a:ext uri="{FF2B5EF4-FFF2-40B4-BE49-F238E27FC236}">
              <a16:creationId xmlns:a16="http://schemas.microsoft.com/office/drawing/2014/main" id="{1480177B-D99B-A2F0-86EB-AD2A0F1E9AA1}"/>
            </a:ext>
          </a:extLst>
        </xdr:cNvPr>
        <xdr:cNvGrpSpPr/>
      </xdr:nvGrpSpPr>
      <xdr:grpSpPr>
        <a:xfrm>
          <a:off x="14700250" y="8455567"/>
          <a:ext cx="0" cy="1263855"/>
          <a:chOff x="21907500" y="8613321"/>
          <a:chExt cx="3700842" cy="1455965"/>
        </a:xfrm>
      </xdr:grpSpPr>
      <xdr:pic>
        <xdr:nvPicPr>
          <xdr:cNvPr id="11" name="Immagine 10">
            <a:extLst>
              <a:ext uri="{FF2B5EF4-FFF2-40B4-BE49-F238E27FC236}">
                <a16:creationId xmlns:a16="http://schemas.microsoft.com/office/drawing/2014/main" id="{15F5C090-B3C2-4767-8604-90CE771EFBCD}"/>
              </a:ext>
            </a:extLst>
          </xdr:cNvPr>
          <xdr:cNvPicPr>
            <a:picLocks noChangeAspect="1"/>
          </xdr:cNvPicPr>
        </xdr:nvPicPr>
        <xdr:blipFill>
          <a:blip xmlns:r="http://schemas.openxmlformats.org/officeDocument/2006/relationships" r:embed="rId8"/>
          <a:stretch>
            <a:fillRect/>
          </a:stretch>
        </xdr:blipFill>
        <xdr:spPr>
          <a:xfrm>
            <a:off x="21907500" y="8613321"/>
            <a:ext cx="3177066" cy="1000408"/>
          </a:xfrm>
          <a:prstGeom prst="rect">
            <a:avLst/>
          </a:prstGeom>
        </xdr:spPr>
      </xdr:pic>
      <xdr:cxnSp macro="">
        <xdr:nvCxnSpPr>
          <xdr:cNvPr id="14" name="Connettore 2 13">
            <a:extLst>
              <a:ext uri="{FF2B5EF4-FFF2-40B4-BE49-F238E27FC236}">
                <a16:creationId xmlns:a16="http://schemas.microsoft.com/office/drawing/2014/main" id="{230F1218-AB16-45FA-9D35-60CCC54521B1}"/>
              </a:ext>
            </a:extLst>
          </xdr:cNvPr>
          <xdr:cNvCxnSpPr/>
        </xdr:nvCxnSpPr>
        <xdr:spPr>
          <a:xfrm flipV="1">
            <a:off x="22084393" y="9537168"/>
            <a:ext cx="2802" cy="50756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asellaDiTesto 16">
            <a:extLst>
              <a:ext uri="{FF2B5EF4-FFF2-40B4-BE49-F238E27FC236}">
                <a16:creationId xmlns:a16="http://schemas.microsoft.com/office/drawing/2014/main" id="{3650B18F-497B-4555-A18F-17707773DD95}"/>
              </a:ext>
            </a:extLst>
          </xdr:cNvPr>
          <xdr:cNvSpPr txBox="1"/>
        </xdr:nvSpPr>
        <xdr:spPr>
          <a:xfrm>
            <a:off x="22255983" y="9161521"/>
            <a:ext cx="627829" cy="648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600" b="1">
                <a:solidFill>
                  <a:schemeClr val="accent1"/>
                </a:solidFill>
                <a:latin typeface="Verdana" panose="020B0604030504040204" pitchFamily="34" charset="0"/>
                <a:ea typeface="Verdana" panose="020B0604030504040204" pitchFamily="34" charset="0"/>
              </a:rPr>
              <a:t>R</a:t>
            </a:r>
          </a:p>
        </xdr:txBody>
      </xdr:sp>
      <xdr:sp macro="" textlink="">
        <xdr:nvSpPr>
          <xdr:cNvPr id="18" name="CasellaDiTesto 17">
            <a:extLst>
              <a:ext uri="{FF2B5EF4-FFF2-40B4-BE49-F238E27FC236}">
                <a16:creationId xmlns:a16="http://schemas.microsoft.com/office/drawing/2014/main" id="{8625D988-8898-4B47-B189-E9DA7AC9F958}"/>
              </a:ext>
            </a:extLst>
          </xdr:cNvPr>
          <xdr:cNvSpPr txBox="1"/>
        </xdr:nvSpPr>
        <xdr:spPr>
          <a:xfrm>
            <a:off x="24980814" y="9213548"/>
            <a:ext cx="627528" cy="648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600" b="1">
                <a:solidFill>
                  <a:schemeClr val="accent1"/>
                </a:solidFill>
                <a:latin typeface="Verdana" panose="020B0604030504040204" pitchFamily="34" charset="0"/>
                <a:ea typeface="Verdana" panose="020B0604030504040204" pitchFamily="34" charset="0"/>
              </a:rPr>
              <a:t>R</a:t>
            </a:r>
          </a:p>
        </xdr:txBody>
      </xdr:sp>
      <xdr:cxnSp macro="">
        <xdr:nvCxnSpPr>
          <xdr:cNvPr id="21" name="Connettore 2 20">
            <a:extLst>
              <a:ext uri="{FF2B5EF4-FFF2-40B4-BE49-F238E27FC236}">
                <a16:creationId xmlns:a16="http://schemas.microsoft.com/office/drawing/2014/main" id="{7E1F22E7-69B7-B4BD-3D27-989A720501FE}"/>
              </a:ext>
            </a:extLst>
          </xdr:cNvPr>
          <xdr:cNvCxnSpPr/>
        </xdr:nvCxnSpPr>
        <xdr:spPr>
          <a:xfrm flipV="1">
            <a:off x="24860250" y="9561726"/>
            <a:ext cx="2802" cy="50756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16</xdr:col>
          <xdr:colOff>404811</xdr:colOff>
          <xdr:row>122</xdr:row>
          <xdr:rowOff>71437</xdr:rowOff>
        </xdr:from>
        <xdr:to>
          <xdr:col>21</xdr:col>
          <xdr:colOff>71841</xdr:colOff>
          <xdr:row>137</xdr:row>
          <xdr:rowOff>3379</xdr:rowOff>
        </xdr:to>
        <xdr:pic>
          <xdr:nvPicPr>
            <xdr:cNvPr id="16" name="Immagine 15">
              <a:extLst>
                <a:ext uri="{FF2B5EF4-FFF2-40B4-BE49-F238E27FC236}">
                  <a16:creationId xmlns:a16="http://schemas.microsoft.com/office/drawing/2014/main" id="{1907684E-7475-4FB3-943A-990FBA88BAA7}"/>
                </a:ext>
              </a:extLst>
            </xdr:cNvPr>
            <xdr:cNvPicPr>
              <a:picLocks noChangeAspect="1"/>
              <a:extLst>
                <a:ext uri="{84589F7E-364E-4C9E-8A38-B11213B215E9}">
                  <a14:cameraTool cellRange="Evo" spid="_x0000_s20454"/>
                </a:ext>
              </a:extLst>
            </xdr:cNvPicPr>
          </xdr:nvPicPr>
          <xdr:blipFill rotWithShape="1">
            <a:blip xmlns:r="http://schemas.openxmlformats.org/officeDocument/2006/relationships" r:embed="rId5"/>
            <a:srcRect b="2045"/>
            <a:stretch>
              <a:fillRect/>
            </a:stretch>
          </xdr:blipFill>
          <xdr:spPr>
            <a:xfrm>
              <a:off x="9834561" y="22383750"/>
              <a:ext cx="4572405" cy="2655094"/>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31633</xdr:colOff>
          <xdr:row>37</xdr:row>
          <xdr:rowOff>178173</xdr:rowOff>
        </xdr:from>
        <xdr:to>
          <xdr:col>21</xdr:col>
          <xdr:colOff>189940</xdr:colOff>
          <xdr:row>49</xdr:row>
          <xdr:rowOff>115794</xdr:rowOff>
        </xdr:to>
        <xdr:pic>
          <xdr:nvPicPr>
            <xdr:cNvPr id="1836" name="Immagine 11">
              <a:extLst>
                <a:ext uri="{FF2B5EF4-FFF2-40B4-BE49-F238E27FC236}">
                  <a16:creationId xmlns:a16="http://schemas.microsoft.com/office/drawing/2014/main" id="{A27BDBA8-DB52-FDFF-7CDB-7D10D6A9DCC8}"/>
                </a:ext>
              </a:extLst>
            </xdr:cNvPr>
            <xdr:cNvPicPr>
              <a:picLocks noChangeAspect="1" noChangeArrowheads="1"/>
              <a:extLst>
                <a:ext uri="{84589F7E-364E-4C9E-8A38-B11213B215E9}">
                  <a14:cameraTool cellRange="BEAM" spid="_x0000_s20455"/>
                </a:ext>
              </a:extLst>
            </xdr:cNvPicPr>
          </xdr:nvPicPr>
          <xdr:blipFill>
            <a:blip xmlns:r="http://schemas.openxmlformats.org/officeDocument/2006/relationships" r:embed="rId9"/>
            <a:srcRect/>
            <a:stretch>
              <a:fillRect/>
            </a:stretch>
          </xdr:blipFill>
          <xdr:spPr bwMode="auto">
            <a:xfrm>
              <a:off x="10386669" y="7349137"/>
              <a:ext cx="4104378" cy="216919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340181</xdr:colOff>
          <xdr:row>143</xdr:row>
          <xdr:rowOff>95250</xdr:rowOff>
        </xdr:from>
        <xdr:to>
          <xdr:col>18</xdr:col>
          <xdr:colOff>35103</xdr:colOff>
          <xdr:row>149</xdr:row>
          <xdr:rowOff>73254</xdr:rowOff>
        </xdr:to>
        <xdr:pic>
          <xdr:nvPicPr>
            <xdr:cNvPr id="6" name="Immagine 5">
              <a:extLst>
                <a:ext uri="{FF2B5EF4-FFF2-40B4-BE49-F238E27FC236}">
                  <a16:creationId xmlns:a16="http://schemas.microsoft.com/office/drawing/2014/main" id="{D2032CED-52BD-69B3-FA2A-B31B40C4373E}"/>
                </a:ext>
              </a:extLst>
            </xdr:cNvPr>
            <xdr:cNvPicPr>
              <a:picLocks noChangeAspect="1"/>
              <a:extLst>
                <a:ext uri="{84589F7E-364E-4C9E-8A38-B11213B215E9}">
                  <a14:cameraTool cellRange="img_screw" spid="_x0000_s20456"/>
                </a:ext>
              </a:extLst>
            </xdr:cNvPicPr>
          </xdr:nvPicPr>
          <xdr:blipFill rotWithShape="1">
            <a:blip xmlns:r="http://schemas.openxmlformats.org/officeDocument/2006/relationships" r:embed="rId10"/>
            <a:srcRect l="13689" t="32503" r="26237"/>
            <a:stretch>
              <a:fillRect/>
            </a:stretch>
          </xdr:blipFill>
          <xdr:spPr>
            <a:xfrm>
              <a:off x="18573752" y="27023786"/>
              <a:ext cx="4956669" cy="104775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489434</xdr:colOff>
          <xdr:row>156</xdr:row>
          <xdr:rowOff>141973</xdr:rowOff>
        </xdr:from>
        <xdr:to>
          <xdr:col>18</xdr:col>
          <xdr:colOff>33338</xdr:colOff>
          <xdr:row>162</xdr:row>
          <xdr:rowOff>71843</xdr:rowOff>
        </xdr:to>
        <xdr:pic>
          <xdr:nvPicPr>
            <xdr:cNvPr id="7" name="Immagine 6">
              <a:extLst>
                <a:ext uri="{FF2B5EF4-FFF2-40B4-BE49-F238E27FC236}">
                  <a16:creationId xmlns:a16="http://schemas.microsoft.com/office/drawing/2014/main" id="{C79A5F7C-0B79-4AA8-8D6D-DC2F1F3D5B0E}"/>
                </a:ext>
              </a:extLst>
            </xdr:cNvPr>
            <xdr:cNvPicPr>
              <a:picLocks noChangeAspect="1"/>
              <a:extLst>
                <a:ext uri="{84589F7E-364E-4C9E-8A38-B11213B215E9}">
                  <a14:cameraTool cellRange="img_screw2" spid="_x0000_s20457"/>
                </a:ext>
              </a:extLst>
            </xdr:cNvPicPr>
          </xdr:nvPicPr>
          <xdr:blipFill rotWithShape="1">
            <a:blip xmlns:r="http://schemas.openxmlformats.org/officeDocument/2006/relationships" r:embed="rId10"/>
            <a:srcRect l="15414" t="30939" r="27034"/>
            <a:stretch>
              <a:fillRect/>
            </a:stretch>
          </xdr:blipFill>
          <xdr:spPr>
            <a:xfrm>
              <a:off x="18723005" y="29438152"/>
              <a:ext cx="4803746" cy="1041846"/>
            </a:xfrm>
            <a:prstGeom prst="rect">
              <a:avLst/>
            </a:prstGeom>
          </xdr:spPr>
        </xdr:pic>
        <xdr:clientData/>
      </xdr:twoCellAnchor>
    </mc:Choice>
    <mc:Fallback/>
  </mc:AlternateContent>
  <xdr:twoCellAnchor editAs="oneCell">
    <xdr:from>
      <xdr:col>15</xdr:col>
      <xdr:colOff>587881</xdr:colOff>
      <xdr:row>242</xdr:row>
      <xdr:rowOff>35905</xdr:rowOff>
    </xdr:from>
    <xdr:to>
      <xdr:col>15</xdr:col>
      <xdr:colOff>909762</xdr:colOff>
      <xdr:row>242</xdr:row>
      <xdr:rowOff>339074</xdr:rowOff>
    </xdr:to>
    <xdr:pic>
      <xdr:nvPicPr>
        <xdr:cNvPr id="2" name="Immagine 1">
          <a:extLst>
            <a:ext uri="{FF2B5EF4-FFF2-40B4-BE49-F238E27FC236}">
              <a16:creationId xmlns:a16="http://schemas.microsoft.com/office/drawing/2014/main" id="{A2411702-E6BC-4868-A0D1-32EC538D7F38}"/>
            </a:ext>
          </a:extLst>
        </xdr:cNvPr>
        <xdr:cNvPicPr>
          <a:picLocks noChangeAspect="1"/>
        </xdr:cNvPicPr>
      </xdr:nvPicPr>
      <xdr:blipFill>
        <a:blip xmlns:r="http://schemas.openxmlformats.org/officeDocument/2006/relationships" r:embed="rId11"/>
        <a:stretch>
          <a:fillRect/>
        </a:stretch>
      </xdr:blipFill>
      <xdr:spPr>
        <a:xfrm>
          <a:off x="8936751" y="46501340"/>
          <a:ext cx="306641" cy="30316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857250</xdr:colOff>
          <xdr:row>76</xdr:row>
          <xdr:rowOff>180975</xdr:rowOff>
        </xdr:from>
        <xdr:to>
          <xdr:col>21</xdr:col>
          <xdr:colOff>232410</xdr:colOff>
          <xdr:row>93</xdr:row>
          <xdr:rowOff>38100</xdr:rowOff>
        </xdr:to>
        <xdr:pic>
          <xdr:nvPicPr>
            <xdr:cNvPr id="14270" name="Immagine 7">
              <a:extLst>
                <a:ext uri="{FF2B5EF4-FFF2-40B4-BE49-F238E27FC236}">
                  <a16:creationId xmlns:a16="http://schemas.microsoft.com/office/drawing/2014/main" id="{E3D3A2FB-582D-8E38-E73B-200EF86F98CA}"/>
                </a:ext>
              </a:extLst>
            </xdr:cNvPr>
            <xdr:cNvPicPr>
              <a:picLocks noChangeAspect="1" noChangeArrowheads="1"/>
              <a:extLst>
                <a:ext uri="{84589F7E-364E-4C9E-8A38-B11213B215E9}">
                  <a14:cameraTool cellRange="Lateral_fix" spid="_x0000_s20458"/>
                </a:ext>
              </a:extLst>
            </xdr:cNvPicPr>
          </xdr:nvPicPr>
          <xdr:blipFill>
            <a:blip xmlns:r="http://schemas.openxmlformats.org/officeDocument/2006/relationships" r:embed="rId12"/>
            <a:srcRect b="9967"/>
            <a:stretch>
              <a:fillRect/>
            </a:stretch>
          </xdr:blipFill>
          <xdr:spPr bwMode="auto">
            <a:xfrm>
              <a:off x="9215438" y="14944725"/>
              <a:ext cx="5322093" cy="301228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1152525</xdr:colOff>
          <xdr:row>13</xdr:row>
          <xdr:rowOff>114300</xdr:rowOff>
        </xdr:from>
        <xdr:to>
          <xdr:col>17</xdr:col>
          <xdr:colOff>308610</xdr:colOff>
          <xdr:row>36</xdr:row>
          <xdr:rowOff>72390</xdr:rowOff>
        </xdr:to>
        <xdr:pic>
          <xdr:nvPicPr>
            <xdr:cNvPr id="14271" name="Immagine 12">
              <a:extLst>
                <a:ext uri="{FF2B5EF4-FFF2-40B4-BE49-F238E27FC236}">
                  <a16:creationId xmlns:a16="http://schemas.microsoft.com/office/drawing/2014/main" id="{0CFDED3B-2A03-B007-554B-601241377577}"/>
                </a:ext>
              </a:extLst>
            </xdr:cNvPr>
            <xdr:cNvPicPr>
              <a:picLocks noChangeAspect="1" noChangeArrowheads="1"/>
              <a:extLst>
                <a:ext uri="{84589F7E-364E-4C9E-8A38-B11213B215E9}">
                  <a14:cameraTool cellRange="Evo" spid="_x0000_s20459"/>
                </a:ext>
              </a:extLst>
            </xdr:cNvPicPr>
          </xdr:nvPicPr>
          <xdr:blipFill>
            <a:blip xmlns:r="http://schemas.openxmlformats.org/officeDocument/2006/relationships" r:embed="rId5"/>
            <a:srcRect t="3973" b="5582"/>
            <a:stretch>
              <a:fillRect/>
            </a:stretch>
          </xdr:blipFill>
          <xdr:spPr bwMode="auto">
            <a:xfrm>
              <a:off x="1733550" y="2505075"/>
              <a:ext cx="8924925" cy="45624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400050</xdr:colOff>
          <xdr:row>122</xdr:row>
          <xdr:rowOff>66675</xdr:rowOff>
        </xdr:from>
        <xdr:to>
          <xdr:col>21</xdr:col>
          <xdr:colOff>76200</xdr:colOff>
          <xdr:row>137</xdr:row>
          <xdr:rowOff>0</xdr:rowOff>
        </xdr:to>
        <xdr:pic>
          <xdr:nvPicPr>
            <xdr:cNvPr id="14272" name="Immagine 15">
              <a:extLst>
                <a:ext uri="{FF2B5EF4-FFF2-40B4-BE49-F238E27FC236}">
                  <a16:creationId xmlns:a16="http://schemas.microsoft.com/office/drawing/2014/main" id="{55D6DA27-C598-28D4-C585-B5321C44F002}"/>
                </a:ext>
              </a:extLst>
            </xdr:cNvPr>
            <xdr:cNvPicPr>
              <a:picLocks noChangeAspect="1" noChangeArrowheads="1"/>
              <a:extLst>
                <a:ext uri="{84589F7E-364E-4C9E-8A38-B11213B215E9}">
                  <a14:cameraTool cellRange="Evo" spid="_x0000_s20460"/>
                </a:ext>
              </a:extLst>
            </xdr:cNvPicPr>
          </xdr:nvPicPr>
          <xdr:blipFill>
            <a:blip xmlns:r="http://schemas.openxmlformats.org/officeDocument/2006/relationships" r:embed="rId5"/>
            <a:srcRect b="2045"/>
            <a:stretch>
              <a:fillRect/>
            </a:stretch>
          </xdr:blipFill>
          <xdr:spPr bwMode="auto">
            <a:xfrm>
              <a:off x="9794081" y="23557706"/>
              <a:ext cx="4581525" cy="262413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37</xdr:row>
          <xdr:rowOff>180975</xdr:rowOff>
        </xdr:from>
        <xdr:to>
          <xdr:col>21</xdr:col>
          <xdr:colOff>190500</xdr:colOff>
          <xdr:row>49</xdr:row>
          <xdr:rowOff>114300</xdr:rowOff>
        </xdr:to>
        <xdr:pic>
          <xdr:nvPicPr>
            <xdr:cNvPr id="14273" name="Immagine 11">
              <a:extLst>
                <a:ext uri="{FF2B5EF4-FFF2-40B4-BE49-F238E27FC236}">
                  <a16:creationId xmlns:a16="http://schemas.microsoft.com/office/drawing/2014/main" id="{640BC607-6A65-461A-E0D1-6BCC7D8F82A7}"/>
                </a:ext>
              </a:extLst>
            </xdr:cNvPr>
            <xdr:cNvPicPr>
              <a:picLocks noChangeAspect="1" noChangeArrowheads="1"/>
              <a:extLst>
                <a:ext uri="{84589F7E-364E-4C9E-8A38-B11213B215E9}">
                  <a14:cameraTool cellRange="BEAM" spid="_x0000_s20461"/>
                </a:ext>
              </a:extLst>
            </xdr:cNvPicPr>
          </xdr:nvPicPr>
          <xdr:blipFill>
            <a:blip xmlns:r="http://schemas.openxmlformats.org/officeDocument/2006/relationships" r:embed="rId9"/>
            <a:srcRect/>
            <a:stretch>
              <a:fillRect/>
            </a:stretch>
          </xdr:blipFill>
          <xdr:spPr bwMode="auto">
            <a:xfrm>
              <a:off x="10372725" y="7381875"/>
              <a:ext cx="4114800" cy="21907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143</xdr:row>
          <xdr:rowOff>95250</xdr:rowOff>
        </xdr:from>
        <xdr:to>
          <xdr:col>18</xdr:col>
          <xdr:colOff>38100</xdr:colOff>
          <xdr:row>149</xdr:row>
          <xdr:rowOff>76200</xdr:rowOff>
        </xdr:to>
        <xdr:pic>
          <xdr:nvPicPr>
            <xdr:cNvPr id="14274" name="Immagine 5">
              <a:extLst>
                <a:ext uri="{FF2B5EF4-FFF2-40B4-BE49-F238E27FC236}">
                  <a16:creationId xmlns:a16="http://schemas.microsoft.com/office/drawing/2014/main" id="{29356B12-836B-1D3D-DB99-B39BBA1EE84E}"/>
                </a:ext>
              </a:extLst>
            </xdr:cNvPr>
            <xdr:cNvPicPr>
              <a:picLocks noChangeAspect="1" noChangeArrowheads="1"/>
              <a:extLst>
                <a:ext uri="{84589F7E-364E-4C9E-8A38-B11213B215E9}">
                  <a14:cameraTool cellRange="img_screw" spid="_x0000_s20462"/>
                </a:ext>
              </a:extLst>
            </xdr:cNvPicPr>
          </xdr:nvPicPr>
          <xdr:blipFill>
            <a:blip xmlns:r="http://schemas.openxmlformats.org/officeDocument/2006/relationships" r:embed="rId10"/>
            <a:srcRect l="13689" t="32503" r="26237"/>
            <a:stretch>
              <a:fillRect/>
            </a:stretch>
          </xdr:blipFill>
          <xdr:spPr bwMode="auto">
            <a:xfrm>
              <a:off x="6486525" y="27441525"/>
              <a:ext cx="4972050" cy="10858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485775</xdr:colOff>
          <xdr:row>156</xdr:row>
          <xdr:rowOff>142875</xdr:rowOff>
        </xdr:from>
        <xdr:to>
          <xdr:col>18</xdr:col>
          <xdr:colOff>38100</xdr:colOff>
          <xdr:row>162</xdr:row>
          <xdr:rowOff>76200</xdr:rowOff>
        </xdr:to>
        <xdr:pic>
          <xdr:nvPicPr>
            <xdr:cNvPr id="14275" name="Immagine 6">
              <a:extLst>
                <a:ext uri="{FF2B5EF4-FFF2-40B4-BE49-F238E27FC236}">
                  <a16:creationId xmlns:a16="http://schemas.microsoft.com/office/drawing/2014/main" id="{3DC8F81D-5F0E-A7DB-E6F5-0C999EEEB94E}"/>
                </a:ext>
              </a:extLst>
            </xdr:cNvPr>
            <xdr:cNvPicPr>
              <a:picLocks noChangeAspect="1" noChangeArrowheads="1"/>
              <a:extLst>
                <a:ext uri="{84589F7E-364E-4C9E-8A38-B11213B215E9}">
                  <a14:cameraTool cellRange="img_screw2" spid="_x0000_s20463"/>
                </a:ext>
              </a:extLst>
            </xdr:cNvPicPr>
          </xdr:nvPicPr>
          <xdr:blipFill>
            <a:blip xmlns:r="http://schemas.openxmlformats.org/officeDocument/2006/relationships" r:embed="rId10"/>
            <a:srcRect l="15414" t="30939" r="27034"/>
            <a:stretch>
              <a:fillRect/>
            </a:stretch>
          </xdr:blipFill>
          <xdr:spPr bwMode="auto">
            <a:xfrm>
              <a:off x="6629400" y="29898975"/>
              <a:ext cx="4829175"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1076325</xdr:colOff>
          <xdr:row>76</xdr:row>
          <xdr:rowOff>219075</xdr:rowOff>
        </xdr:from>
        <xdr:to>
          <xdr:col>21</xdr:col>
          <xdr:colOff>3175</xdr:colOff>
          <xdr:row>93</xdr:row>
          <xdr:rowOff>47625</xdr:rowOff>
        </xdr:to>
        <xdr:pic>
          <xdr:nvPicPr>
            <xdr:cNvPr id="17364" name="Immagine 7">
              <a:extLst>
                <a:ext uri="{FF2B5EF4-FFF2-40B4-BE49-F238E27FC236}">
                  <a16:creationId xmlns:a16="http://schemas.microsoft.com/office/drawing/2014/main" id="{B00ED6C8-E074-E9A0-088E-B09F91796FB9}"/>
                </a:ext>
              </a:extLst>
            </xdr:cNvPr>
            <xdr:cNvPicPr>
              <a:picLocks noChangeAspect="1" noChangeArrowheads="1"/>
              <a:extLst>
                <a:ext uri="{84589F7E-364E-4C9E-8A38-B11213B215E9}">
                  <a14:cameraTool cellRange="Lateral_fix" spid="_x0000_s20464"/>
                </a:ext>
              </a:extLst>
            </xdr:cNvPicPr>
          </xdr:nvPicPr>
          <xdr:blipFill>
            <a:blip xmlns:r="http://schemas.openxmlformats.org/officeDocument/2006/relationships" r:embed="rId1"/>
            <a:srcRect b="9967"/>
            <a:stretch>
              <a:fillRect/>
            </a:stretch>
          </xdr:blipFill>
          <xdr:spPr bwMode="auto">
            <a:xfrm>
              <a:off x="9391650" y="14954250"/>
              <a:ext cx="4905375" cy="30289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13</xdr:row>
          <xdr:rowOff>142875</xdr:rowOff>
        </xdr:from>
        <xdr:to>
          <xdr:col>17</xdr:col>
          <xdr:colOff>381000</xdr:colOff>
          <xdr:row>36</xdr:row>
          <xdr:rowOff>95250</xdr:rowOff>
        </xdr:to>
        <xdr:pic>
          <xdr:nvPicPr>
            <xdr:cNvPr id="17365" name="Immagine 12">
              <a:extLst>
                <a:ext uri="{FF2B5EF4-FFF2-40B4-BE49-F238E27FC236}">
                  <a16:creationId xmlns:a16="http://schemas.microsoft.com/office/drawing/2014/main" id="{4039EACD-E30A-B6D7-590D-E8B71A595607}"/>
                </a:ext>
              </a:extLst>
            </xdr:cNvPr>
            <xdr:cNvPicPr>
              <a:picLocks noChangeAspect="1" noChangeArrowheads="1"/>
              <a:extLst>
                <a:ext uri="{84589F7E-364E-4C9E-8A38-B11213B215E9}">
                  <a14:cameraTool cellRange="Evo" spid="_x0000_s20465"/>
                </a:ext>
              </a:extLst>
            </xdr:cNvPicPr>
          </xdr:nvPicPr>
          <xdr:blipFill>
            <a:blip xmlns:r="http://schemas.openxmlformats.org/officeDocument/2006/relationships" r:embed="rId5"/>
            <a:srcRect t="3973" b="5582"/>
            <a:stretch>
              <a:fillRect/>
            </a:stretch>
          </xdr:blipFill>
          <xdr:spPr bwMode="auto">
            <a:xfrm>
              <a:off x="2019300" y="2533650"/>
              <a:ext cx="8705850" cy="4572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504825</xdr:colOff>
          <xdr:row>122</xdr:row>
          <xdr:rowOff>85725</xdr:rowOff>
        </xdr:from>
        <xdr:to>
          <xdr:col>21</xdr:col>
          <xdr:colOff>85725</xdr:colOff>
          <xdr:row>137</xdr:row>
          <xdr:rowOff>0</xdr:rowOff>
        </xdr:to>
        <xdr:pic>
          <xdr:nvPicPr>
            <xdr:cNvPr id="17366" name="Immagine 15">
              <a:extLst>
                <a:ext uri="{FF2B5EF4-FFF2-40B4-BE49-F238E27FC236}">
                  <a16:creationId xmlns:a16="http://schemas.microsoft.com/office/drawing/2014/main" id="{99E92091-A2A9-4EFA-95BB-2A339109F640}"/>
                </a:ext>
              </a:extLst>
            </xdr:cNvPr>
            <xdr:cNvPicPr>
              <a:picLocks noChangeAspect="1" noChangeArrowheads="1"/>
              <a:extLst>
                <a:ext uri="{84589F7E-364E-4C9E-8A38-B11213B215E9}">
                  <a14:cameraTool cellRange="Evo" spid="_x0000_s20466"/>
                </a:ext>
              </a:extLst>
            </xdr:cNvPicPr>
          </xdr:nvPicPr>
          <xdr:blipFill>
            <a:blip xmlns:r="http://schemas.openxmlformats.org/officeDocument/2006/relationships" r:embed="rId5"/>
            <a:srcRect b="2045"/>
            <a:stretch>
              <a:fillRect/>
            </a:stretch>
          </xdr:blipFill>
          <xdr:spPr bwMode="auto">
            <a:xfrm>
              <a:off x="9896475" y="23622000"/>
              <a:ext cx="4486275" cy="26384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37</xdr:row>
          <xdr:rowOff>219075</xdr:rowOff>
        </xdr:from>
        <xdr:to>
          <xdr:col>21</xdr:col>
          <xdr:colOff>238125</xdr:colOff>
          <xdr:row>49</xdr:row>
          <xdr:rowOff>142875</xdr:rowOff>
        </xdr:to>
        <xdr:pic>
          <xdr:nvPicPr>
            <xdr:cNvPr id="17367" name="Immagine 11">
              <a:extLst>
                <a:ext uri="{FF2B5EF4-FFF2-40B4-BE49-F238E27FC236}">
                  <a16:creationId xmlns:a16="http://schemas.microsoft.com/office/drawing/2014/main" id="{63FAE21C-030D-A56E-2DDF-44022FA10D7A}"/>
                </a:ext>
              </a:extLst>
            </xdr:cNvPr>
            <xdr:cNvPicPr>
              <a:picLocks noChangeAspect="1" noChangeArrowheads="1"/>
              <a:extLst>
                <a:ext uri="{84589F7E-364E-4C9E-8A38-B11213B215E9}">
                  <a14:cameraTool cellRange="BEAM" spid="_x0000_s20467"/>
                </a:ext>
              </a:extLst>
            </xdr:cNvPicPr>
          </xdr:nvPicPr>
          <xdr:blipFill>
            <a:blip xmlns:r="http://schemas.openxmlformats.org/officeDocument/2006/relationships" r:embed="rId9"/>
            <a:srcRect/>
            <a:stretch>
              <a:fillRect/>
            </a:stretch>
          </xdr:blipFill>
          <xdr:spPr bwMode="auto">
            <a:xfrm>
              <a:off x="10382250" y="7391400"/>
              <a:ext cx="4152900" cy="2209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428625</xdr:colOff>
          <xdr:row>143</xdr:row>
          <xdr:rowOff>123825</xdr:rowOff>
        </xdr:from>
        <xdr:to>
          <xdr:col>18</xdr:col>
          <xdr:colOff>47625</xdr:colOff>
          <xdr:row>149</xdr:row>
          <xdr:rowOff>95250</xdr:rowOff>
        </xdr:to>
        <xdr:pic>
          <xdr:nvPicPr>
            <xdr:cNvPr id="17368" name="Immagine 5">
              <a:extLst>
                <a:ext uri="{FF2B5EF4-FFF2-40B4-BE49-F238E27FC236}">
                  <a16:creationId xmlns:a16="http://schemas.microsoft.com/office/drawing/2014/main" id="{256093AE-1659-12D5-DE22-C842D97F8AC3}"/>
                </a:ext>
              </a:extLst>
            </xdr:cNvPr>
            <xdr:cNvPicPr>
              <a:picLocks noChangeAspect="1" noChangeArrowheads="1"/>
              <a:extLst>
                <a:ext uri="{84589F7E-364E-4C9E-8A38-B11213B215E9}">
                  <a14:cameraTool cellRange="img_screw" spid="_x0000_s20468"/>
                </a:ext>
              </a:extLst>
            </xdr:cNvPicPr>
          </xdr:nvPicPr>
          <xdr:blipFill>
            <a:blip xmlns:r="http://schemas.openxmlformats.org/officeDocument/2006/relationships" r:embed="rId10"/>
            <a:srcRect l="13689" t="32503" r="26237"/>
            <a:stretch>
              <a:fillRect/>
            </a:stretch>
          </xdr:blipFill>
          <xdr:spPr bwMode="auto">
            <a:xfrm>
              <a:off x="6572250" y="27470100"/>
              <a:ext cx="4895850" cy="10763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156</xdr:row>
          <xdr:rowOff>180975</xdr:rowOff>
        </xdr:from>
        <xdr:to>
          <xdr:col>18</xdr:col>
          <xdr:colOff>38100</xdr:colOff>
          <xdr:row>162</xdr:row>
          <xdr:rowOff>85725</xdr:rowOff>
        </xdr:to>
        <xdr:pic>
          <xdr:nvPicPr>
            <xdr:cNvPr id="17369" name="Immagine 6">
              <a:extLst>
                <a:ext uri="{FF2B5EF4-FFF2-40B4-BE49-F238E27FC236}">
                  <a16:creationId xmlns:a16="http://schemas.microsoft.com/office/drawing/2014/main" id="{1222CA07-2239-9E56-95ED-3DE9F86D9A40}"/>
                </a:ext>
              </a:extLst>
            </xdr:cNvPr>
            <xdr:cNvPicPr>
              <a:picLocks noChangeAspect="1" noChangeArrowheads="1"/>
              <a:extLst>
                <a:ext uri="{84589F7E-364E-4C9E-8A38-B11213B215E9}">
                  <a14:cameraTool cellRange="img_screw2" spid="_x0000_s20469"/>
                </a:ext>
              </a:extLst>
            </xdr:cNvPicPr>
          </xdr:nvPicPr>
          <xdr:blipFill>
            <a:blip xmlns:r="http://schemas.openxmlformats.org/officeDocument/2006/relationships" r:embed="rId10"/>
            <a:srcRect l="15414" t="30939" r="27034"/>
            <a:stretch>
              <a:fillRect/>
            </a:stretch>
          </xdr:blipFill>
          <xdr:spPr bwMode="auto">
            <a:xfrm>
              <a:off x="6753225" y="29937075"/>
              <a:ext cx="4705350" cy="1038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1076325</xdr:colOff>
          <xdr:row>76</xdr:row>
          <xdr:rowOff>228600</xdr:rowOff>
        </xdr:from>
        <xdr:to>
          <xdr:col>21</xdr:col>
          <xdr:colOff>295275</xdr:colOff>
          <xdr:row>93</xdr:row>
          <xdr:rowOff>47625</xdr:rowOff>
        </xdr:to>
        <xdr:pic>
          <xdr:nvPicPr>
            <xdr:cNvPr id="17370" name="Picture 6106">
              <a:extLst>
                <a:ext uri="{FF2B5EF4-FFF2-40B4-BE49-F238E27FC236}">
                  <a16:creationId xmlns:a16="http://schemas.microsoft.com/office/drawing/2014/main" id="{1659F7B4-6D19-3572-A75D-2A6A8555B9B2}"/>
                </a:ext>
              </a:extLst>
            </xdr:cNvPr>
            <xdr:cNvPicPr>
              <a:picLocks noChangeAspect="1" noChangeArrowheads="1"/>
              <a:extLst>
                <a:ext uri="{84589F7E-364E-4C9E-8A38-B11213B215E9}">
                  <a14:cameraTool cellRange="Lateral_fix" spid="_x0000_s20470"/>
                </a:ext>
              </a:extLst>
            </xdr:cNvPicPr>
          </xdr:nvPicPr>
          <xdr:blipFill>
            <a:blip xmlns:r="http://schemas.openxmlformats.org/officeDocument/2006/relationships" r:embed="rId1"/>
            <a:srcRect b="9967"/>
            <a:stretch>
              <a:fillRect/>
            </a:stretch>
          </xdr:blipFill>
          <xdr:spPr bwMode="auto">
            <a:xfrm>
              <a:off x="9391650" y="14954250"/>
              <a:ext cx="5200650" cy="30289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13</xdr:row>
          <xdr:rowOff>142875</xdr:rowOff>
        </xdr:from>
        <xdr:to>
          <xdr:col>17</xdr:col>
          <xdr:colOff>390525</xdr:colOff>
          <xdr:row>36</xdr:row>
          <xdr:rowOff>95250</xdr:rowOff>
        </xdr:to>
        <xdr:pic>
          <xdr:nvPicPr>
            <xdr:cNvPr id="17371" name="Picture 6107">
              <a:extLst>
                <a:ext uri="{FF2B5EF4-FFF2-40B4-BE49-F238E27FC236}">
                  <a16:creationId xmlns:a16="http://schemas.microsoft.com/office/drawing/2014/main" id="{24B1BD17-DC48-8748-0667-9643C5B5EB84}"/>
                </a:ext>
              </a:extLst>
            </xdr:cNvPr>
            <xdr:cNvPicPr>
              <a:picLocks noChangeAspect="1" noChangeArrowheads="1"/>
              <a:extLst>
                <a:ext uri="{84589F7E-364E-4C9E-8A38-B11213B215E9}">
                  <a14:cameraTool cellRange="Evo" spid="_x0000_s20471"/>
                </a:ext>
              </a:extLst>
            </xdr:cNvPicPr>
          </xdr:nvPicPr>
          <xdr:blipFill>
            <a:blip xmlns:r="http://schemas.openxmlformats.org/officeDocument/2006/relationships" r:embed="rId5"/>
            <a:srcRect t="3973" b="5582"/>
            <a:stretch>
              <a:fillRect/>
            </a:stretch>
          </xdr:blipFill>
          <xdr:spPr bwMode="auto">
            <a:xfrm>
              <a:off x="2019300" y="2533650"/>
              <a:ext cx="8715375" cy="4572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504825</xdr:colOff>
          <xdr:row>122</xdr:row>
          <xdr:rowOff>85725</xdr:rowOff>
        </xdr:from>
        <xdr:to>
          <xdr:col>21</xdr:col>
          <xdr:colOff>95250</xdr:colOff>
          <xdr:row>137</xdr:row>
          <xdr:rowOff>0</xdr:rowOff>
        </xdr:to>
        <xdr:pic>
          <xdr:nvPicPr>
            <xdr:cNvPr id="17372" name="Picture 6108">
              <a:extLst>
                <a:ext uri="{FF2B5EF4-FFF2-40B4-BE49-F238E27FC236}">
                  <a16:creationId xmlns:a16="http://schemas.microsoft.com/office/drawing/2014/main" id="{31E436A8-55FD-6F9A-9A19-A7240383D48E}"/>
                </a:ext>
              </a:extLst>
            </xdr:cNvPr>
            <xdr:cNvPicPr>
              <a:picLocks noChangeAspect="1" noChangeArrowheads="1"/>
              <a:extLst>
                <a:ext uri="{84589F7E-364E-4C9E-8A38-B11213B215E9}">
                  <a14:cameraTool cellRange="Evo" spid="_x0000_s20472"/>
                </a:ext>
              </a:extLst>
            </xdr:cNvPicPr>
          </xdr:nvPicPr>
          <xdr:blipFill>
            <a:blip xmlns:r="http://schemas.openxmlformats.org/officeDocument/2006/relationships" r:embed="rId5"/>
            <a:srcRect b="2045"/>
            <a:stretch>
              <a:fillRect/>
            </a:stretch>
          </xdr:blipFill>
          <xdr:spPr bwMode="auto">
            <a:xfrm>
              <a:off x="9896475" y="23622000"/>
              <a:ext cx="4495800" cy="26384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37</xdr:row>
          <xdr:rowOff>228600</xdr:rowOff>
        </xdr:from>
        <xdr:to>
          <xdr:col>21</xdr:col>
          <xdr:colOff>238125</xdr:colOff>
          <xdr:row>49</xdr:row>
          <xdr:rowOff>142875</xdr:rowOff>
        </xdr:to>
        <xdr:pic>
          <xdr:nvPicPr>
            <xdr:cNvPr id="17373" name="Picture 6109">
              <a:extLst>
                <a:ext uri="{FF2B5EF4-FFF2-40B4-BE49-F238E27FC236}">
                  <a16:creationId xmlns:a16="http://schemas.microsoft.com/office/drawing/2014/main" id="{5E57042C-1BFB-1E89-2DB3-B04EB18ECDB3}"/>
                </a:ext>
              </a:extLst>
            </xdr:cNvPr>
            <xdr:cNvPicPr>
              <a:picLocks noChangeAspect="1" noChangeArrowheads="1"/>
              <a:extLst>
                <a:ext uri="{84589F7E-364E-4C9E-8A38-B11213B215E9}">
                  <a14:cameraTool cellRange="BEAM" spid="_x0000_s20473"/>
                </a:ext>
              </a:extLst>
            </xdr:cNvPicPr>
          </xdr:nvPicPr>
          <xdr:blipFill>
            <a:blip xmlns:r="http://schemas.openxmlformats.org/officeDocument/2006/relationships" r:embed="rId9"/>
            <a:srcRect/>
            <a:stretch>
              <a:fillRect/>
            </a:stretch>
          </xdr:blipFill>
          <xdr:spPr bwMode="auto">
            <a:xfrm>
              <a:off x="10382250" y="7391400"/>
              <a:ext cx="4152900" cy="2209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428625</xdr:colOff>
          <xdr:row>143</xdr:row>
          <xdr:rowOff>123825</xdr:rowOff>
        </xdr:from>
        <xdr:to>
          <xdr:col>18</xdr:col>
          <xdr:colOff>47625</xdr:colOff>
          <xdr:row>149</xdr:row>
          <xdr:rowOff>95250</xdr:rowOff>
        </xdr:to>
        <xdr:pic>
          <xdr:nvPicPr>
            <xdr:cNvPr id="17374" name="Picture 6110">
              <a:extLst>
                <a:ext uri="{FF2B5EF4-FFF2-40B4-BE49-F238E27FC236}">
                  <a16:creationId xmlns:a16="http://schemas.microsoft.com/office/drawing/2014/main" id="{23319586-A048-37B3-A885-11E957F81E21}"/>
                </a:ext>
              </a:extLst>
            </xdr:cNvPr>
            <xdr:cNvPicPr>
              <a:picLocks noChangeAspect="1" noChangeArrowheads="1"/>
              <a:extLst>
                <a:ext uri="{84589F7E-364E-4C9E-8A38-B11213B215E9}">
                  <a14:cameraTool cellRange="img_screw" spid="_x0000_s20474"/>
                </a:ext>
              </a:extLst>
            </xdr:cNvPicPr>
          </xdr:nvPicPr>
          <xdr:blipFill>
            <a:blip xmlns:r="http://schemas.openxmlformats.org/officeDocument/2006/relationships" r:embed="rId10"/>
            <a:srcRect l="13689" t="32503" r="26237"/>
            <a:stretch>
              <a:fillRect/>
            </a:stretch>
          </xdr:blipFill>
          <xdr:spPr bwMode="auto">
            <a:xfrm>
              <a:off x="6572250" y="27470100"/>
              <a:ext cx="4895850" cy="10763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156</xdr:row>
          <xdr:rowOff>180975</xdr:rowOff>
        </xdr:from>
        <xdr:to>
          <xdr:col>18</xdr:col>
          <xdr:colOff>47625</xdr:colOff>
          <xdr:row>162</xdr:row>
          <xdr:rowOff>95250</xdr:rowOff>
        </xdr:to>
        <xdr:pic>
          <xdr:nvPicPr>
            <xdr:cNvPr id="17375" name="Picture 6111">
              <a:extLst>
                <a:ext uri="{FF2B5EF4-FFF2-40B4-BE49-F238E27FC236}">
                  <a16:creationId xmlns:a16="http://schemas.microsoft.com/office/drawing/2014/main" id="{6959CEE3-2A63-C05F-D8DA-F3C2B83C953C}"/>
                </a:ext>
              </a:extLst>
            </xdr:cNvPr>
            <xdr:cNvPicPr>
              <a:picLocks noChangeAspect="1" noChangeArrowheads="1"/>
              <a:extLst>
                <a:ext uri="{84589F7E-364E-4C9E-8A38-B11213B215E9}">
                  <a14:cameraTool cellRange="img_screw2" spid="_x0000_s20475"/>
                </a:ext>
              </a:extLst>
            </xdr:cNvPicPr>
          </xdr:nvPicPr>
          <xdr:blipFill>
            <a:blip xmlns:r="http://schemas.openxmlformats.org/officeDocument/2006/relationships" r:embed="rId10"/>
            <a:srcRect l="15414" t="30939" r="27034"/>
            <a:stretch>
              <a:fillRect/>
            </a:stretch>
          </xdr:blipFill>
          <xdr:spPr bwMode="auto">
            <a:xfrm>
              <a:off x="6753225" y="29937075"/>
              <a:ext cx="4714875" cy="10477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1076325</xdr:colOff>
          <xdr:row>76</xdr:row>
          <xdr:rowOff>219075</xdr:rowOff>
        </xdr:from>
        <xdr:to>
          <xdr:col>21</xdr:col>
          <xdr:colOff>3175</xdr:colOff>
          <xdr:row>93</xdr:row>
          <xdr:rowOff>47625</xdr:rowOff>
        </xdr:to>
        <xdr:pic>
          <xdr:nvPicPr>
            <xdr:cNvPr id="17376" name="Picture 6112">
              <a:extLst>
                <a:ext uri="{FF2B5EF4-FFF2-40B4-BE49-F238E27FC236}">
                  <a16:creationId xmlns:a16="http://schemas.microsoft.com/office/drawing/2014/main" id="{78AF0BEA-BB2D-3A14-1557-2CCA618B305A}"/>
                </a:ext>
              </a:extLst>
            </xdr:cNvPr>
            <xdr:cNvPicPr>
              <a:picLocks noChangeAspect="1" noChangeArrowheads="1"/>
              <a:extLst>
                <a:ext uri="{84589F7E-364E-4C9E-8A38-B11213B215E9}">
                  <a14:cameraTool cellRange="Lateral_fix" spid="_x0000_s20476"/>
                </a:ext>
              </a:extLst>
            </xdr:cNvPicPr>
          </xdr:nvPicPr>
          <xdr:blipFill>
            <a:blip xmlns:r="http://schemas.openxmlformats.org/officeDocument/2006/relationships" r:embed="rId12"/>
            <a:srcRect b="9967"/>
            <a:stretch>
              <a:fillRect/>
            </a:stretch>
          </xdr:blipFill>
          <xdr:spPr bwMode="auto">
            <a:xfrm>
              <a:off x="9391650" y="14954250"/>
              <a:ext cx="4905375" cy="30289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13</xdr:row>
          <xdr:rowOff>142875</xdr:rowOff>
        </xdr:from>
        <xdr:to>
          <xdr:col>17</xdr:col>
          <xdr:colOff>381000</xdr:colOff>
          <xdr:row>36</xdr:row>
          <xdr:rowOff>95250</xdr:rowOff>
        </xdr:to>
        <xdr:pic>
          <xdr:nvPicPr>
            <xdr:cNvPr id="17377" name="Picture 6113">
              <a:extLst>
                <a:ext uri="{FF2B5EF4-FFF2-40B4-BE49-F238E27FC236}">
                  <a16:creationId xmlns:a16="http://schemas.microsoft.com/office/drawing/2014/main" id="{2B643423-E096-F6F7-3DA3-0FC064670912}"/>
                </a:ext>
              </a:extLst>
            </xdr:cNvPr>
            <xdr:cNvPicPr>
              <a:picLocks noChangeAspect="1" noChangeArrowheads="1"/>
              <a:extLst>
                <a:ext uri="{84589F7E-364E-4C9E-8A38-B11213B215E9}">
                  <a14:cameraTool cellRange="Evo" spid="_x0000_s20477"/>
                </a:ext>
              </a:extLst>
            </xdr:cNvPicPr>
          </xdr:nvPicPr>
          <xdr:blipFill>
            <a:blip xmlns:r="http://schemas.openxmlformats.org/officeDocument/2006/relationships" r:embed="rId5"/>
            <a:srcRect t="3973" b="5582"/>
            <a:stretch>
              <a:fillRect/>
            </a:stretch>
          </xdr:blipFill>
          <xdr:spPr bwMode="auto">
            <a:xfrm>
              <a:off x="2019300" y="2533650"/>
              <a:ext cx="8705850" cy="4572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504825</xdr:colOff>
          <xdr:row>122</xdr:row>
          <xdr:rowOff>85725</xdr:rowOff>
        </xdr:from>
        <xdr:to>
          <xdr:col>21</xdr:col>
          <xdr:colOff>85725</xdr:colOff>
          <xdr:row>137</xdr:row>
          <xdr:rowOff>0</xdr:rowOff>
        </xdr:to>
        <xdr:pic>
          <xdr:nvPicPr>
            <xdr:cNvPr id="17378" name="Picture 6114">
              <a:extLst>
                <a:ext uri="{FF2B5EF4-FFF2-40B4-BE49-F238E27FC236}">
                  <a16:creationId xmlns:a16="http://schemas.microsoft.com/office/drawing/2014/main" id="{0CF07073-805D-5292-5A66-452F2C1F00A5}"/>
                </a:ext>
              </a:extLst>
            </xdr:cNvPr>
            <xdr:cNvPicPr>
              <a:picLocks noChangeAspect="1" noChangeArrowheads="1"/>
              <a:extLst>
                <a:ext uri="{84589F7E-364E-4C9E-8A38-B11213B215E9}">
                  <a14:cameraTool cellRange="Evo" spid="_x0000_s20478"/>
                </a:ext>
              </a:extLst>
            </xdr:cNvPicPr>
          </xdr:nvPicPr>
          <xdr:blipFill>
            <a:blip xmlns:r="http://schemas.openxmlformats.org/officeDocument/2006/relationships" r:embed="rId5"/>
            <a:srcRect b="2045"/>
            <a:stretch>
              <a:fillRect/>
            </a:stretch>
          </xdr:blipFill>
          <xdr:spPr bwMode="auto">
            <a:xfrm>
              <a:off x="9896475" y="23622000"/>
              <a:ext cx="4486275" cy="26384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37</xdr:row>
          <xdr:rowOff>219075</xdr:rowOff>
        </xdr:from>
        <xdr:to>
          <xdr:col>21</xdr:col>
          <xdr:colOff>238125</xdr:colOff>
          <xdr:row>49</xdr:row>
          <xdr:rowOff>142875</xdr:rowOff>
        </xdr:to>
        <xdr:pic>
          <xdr:nvPicPr>
            <xdr:cNvPr id="17379" name="Picture 6115">
              <a:extLst>
                <a:ext uri="{FF2B5EF4-FFF2-40B4-BE49-F238E27FC236}">
                  <a16:creationId xmlns:a16="http://schemas.microsoft.com/office/drawing/2014/main" id="{03A4F9A4-AD3D-DBF9-F191-E8B82C3F8669}"/>
                </a:ext>
              </a:extLst>
            </xdr:cNvPr>
            <xdr:cNvPicPr>
              <a:picLocks noChangeAspect="1" noChangeArrowheads="1"/>
              <a:extLst>
                <a:ext uri="{84589F7E-364E-4C9E-8A38-B11213B215E9}">
                  <a14:cameraTool cellRange="BEAM" spid="_x0000_s20479"/>
                </a:ext>
              </a:extLst>
            </xdr:cNvPicPr>
          </xdr:nvPicPr>
          <xdr:blipFill>
            <a:blip xmlns:r="http://schemas.openxmlformats.org/officeDocument/2006/relationships" r:embed="rId9"/>
            <a:srcRect/>
            <a:stretch>
              <a:fillRect/>
            </a:stretch>
          </xdr:blipFill>
          <xdr:spPr bwMode="auto">
            <a:xfrm>
              <a:off x="10382250" y="7391400"/>
              <a:ext cx="4152900" cy="2209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428625</xdr:colOff>
          <xdr:row>143</xdr:row>
          <xdr:rowOff>123825</xdr:rowOff>
        </xdr:from>
        <xdr:to>
          <xdr:col>18</xdr:col>
          <xdr:colOff>47625</xdr:colOff>
          <xdr:row>149</xdr:row>
          <xdr:rowOff>95250</xdr:rowOff>
        </xdr:to>
        <xdr:pic>
          <xdr:nvPicPr>
            <xdr:cNvPr id="17380" name="Picture 6116">
              <a:extLst>
                <a:ext uri="{FF2B5EF4-FFF2-40B4-BE49-F238E27FC236}">
                  <a16:creationId xmlns:a16="http://schemas.microsoft.com/office/drawing/2014/main" id="{061A4B1C-C030-1E64-5CF7-815A588B4CB0}"/>
                </a:ext>
              </a:extLst>
            </xdr:cNvPr>
            <xdr:cNvPicPr>
              <a:picLocks noChangeAspect="1" noChangeArrowheads="1"/>
              <a:extLst>
                <a:ext uri="{84589F7E-364E-4C9E-8A38-B11213B215E9}">
                  <a14:cameraTool cellRange="img_screw" spid="_x0000_s22528"/>
                </a:ext>
              </a:extLst>
            </xdr:cNvPicPr>
          </xdr:nvPicPr>
          <xdr:blipFill>
            <a:blip xmlns:r="http://schemas.openxmlformats.org/officeDocument/2006/relationships" r:embed="rId10"/>
            <a:srcRect l="13689" t="32503" r="26237"/>
            <a:stretch>
              <a:fillRect/>
            </a:stretch>
          </xdr:blipFill>
          <xdr:spPr bwMode="auto">
            <a:xfrm>
              <a:off x="6572250" y="27470100"/>
              <a:ext cx="4895850" cy="10763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156</xdr:row>
          <xdr:rowOff>180975</xdr:rowOff>
        </xdr:from>
        <xdr:to>
          <xdr:col>18</xdr:col>
          <xdr:colOff>38100</xdr:colOff>
          <xdr:row>162</xdr:row>
          <xdr:rowOff>85725</xdr:rowOff>
        </xdr:to>
        <xdr:pic>
          <xdr:nvPicPr>
            <xdr:cNvPr id="17381" name="Picture 6117">
              <a:extLst>
                <a:ext uri="{FF2B5EF4-FFF2-40B4-BE49-F238E27FC236}">
                  <a16:creationId xmlns:a16="http://schemas.microsoft.com/office/drawing/2014/main" id="{C473CE19-A6C3-B61D-4E4E-3E0A7AB0E30D}"/>
                </a:ext>
              </a:extLst>
            </xdr:cNvPr>
            <xdr:cNvPicPr>
              <a:picLocks noChangeAspect="1" noChangeArrowheads="1"/>
              <a:extLst>
                <a:ext uri="{84589F7E-364E-4C9E-8A38-B11213B215E9}">
                  <a14:cameraTool cellRange="img_screw2" spid="_x0000_s22529"/>
                </a:ext>
              </a:extLst>
            </xdr:cNvPicPr>
          </xdr:nvPicPr>
          <xdr:blipFill>
            <a:blip xmlns:r="http://schemas.openxmlformats.org/officeDocument/2006/relationships" r:embed="rId10"/>
            <a:srcRect l="15414" t="30939" r="27034"/>
            <a:stretch>
              <a:fillRect/>
            </a:stretch>
          </xdr:blipFill>
          <xdr:spPr bwMode="auto">
            <a:xfrm>
              <a:off x="6753225" y="29937075"/>
              <a:ext cx="4705350" cy="1038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1076325</xdr:colOff>
          <xdr:row>76</xdr:row>
          <xdr:rowOff>228600</xdr:rowOff>
        </xdr:from>
        <xdr:to>
          <xdr:col>21</xdr:col>
          <xdr:colOff>295275</xdr:colOff>
          <xdr:row>93</xdr:row>
          <xdr:rowOff>47625</xdr:rowOff>
        </xdr:to>
        <xdr:pic>
          <xdr:nvPicPr>
            <xdr:cNvPr id="17382" name="Picture 6118">
              <a:extLst>
                <a:ext uri="{FF2B5EF4-FFF2-40B4-BE49-F238E27FC236}">
                  <a16:creationId xmlns:a16="http://schemas.microsoft.com/office/drawing/2014/main" id="{4688EAAB-A1C0-E593-E3B4-79F39722C446}"/>
                </a:ext>
              </a:extLst>
            </xdr:cNvPr>
            <xdr:cNvPicPr>
              <a:picLocks noChangeAspect="1" noChangeArrowheads="1"/>
              <a:extLst>
                <a:ext uri="{84589F7E-364E-4C9E-8A38-B11213B215E9}">
                  <a14:cameraTool cellRange="Lateral_fix" spid="_x0000_s22530"/>
                </a:ext>
              </a:extLst>
            </xdr:cNvPicPr>
          </xdr:nvPicPr>
          <xdr:blipFill>
            <a:blip xmlns:r="http://schemas.openxmlformats.org/officeDocument/2006/relationships" r:embed="rId1"/>
            <a:srcRect b="9967"/>
            <a:stretch>
              <a:fillRect/>
            </a:stretch>
          </xdr:blipFill>
          <xdr:spPr bwMode="auto">
            <a:xfrm>
              <a:off x="9391650" y="14954250"/>
              <a:ext cx="5200650" cy="30289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13</xdr:row>
          <xdr:rowOff>142875</xdr:rowOff>
        </xdr:from>
        <xdr:to>
          <xdr:col>17</xdr:col>
          <xdr:colOff>390525</xdr:colOff>
          <xdr:row>36</xdr:row>
          <xdr:rowOff>95250</xdr:rowOff>
        </xdr:to>
        <xdr:pic>
          <xdr:nvPicPr>
            <xdr:cNvPr id="17383" name="Picture 6119">
              <a:extLst>
                <a:ext uri="{FF2B5EF4-FFF2-40B4-BE49-F238E27FC236}">
                  <a16:creationId xmlns:a16="http://schemas.microsoft.com/office/drawing/2014/main" id="{558A61F4-1D4E-2805-7A5B-338A97CE865D}"/>
                </a:ext>
              </a:extLst>
            </xdr:cNvPr>
            <xdr:cNvPicPr>
              <a:picLocks noChangeAspect="1" noChangeArrowheads="1"/>
              <a:extLst>
                <a:ext uri="{84589F7E-364E-4C9E-8A38-B11213B215E9}">
                  <a14:cameraTool cellRange="Evo" spid="_x0000_s22531"/>
                </a:ext>
              </a:extLst>
            </xdr:cNvPicPr>
          </xdr:nvPicPr>
          <xdr:blipFill>
            <a:blip xmlns:r="http://schemas.openxmlformats.org/officeDocument/2006/relationships" r:embed="rId5"/>
            <a:srcRect t="3973" b="5582"/>
            <a:stretch>
              <a:fillRect/>
            </a:stretch>
          </xdr:blipFill>
          <xdr:spPr bwMode="auto">
            <a:xfrm>
              <a:off x="2019300" y="2533650"/>
              <a:ext cx="8715375" cy="4572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504825</xdr:colOff>
          <xdr:row>122</xdr:row>
          <xdr:rowOff>85725</xdr:rowOff>
        </xdr:from>
        <xdr:to>
          <xdr:col>21</xdr:col>
          <xdr:colOff>95250</xdr:colOff>
          <xdr:row>137</xdr:row>
          <xdr:rowOff>0</xdr:rowOff>
        </xdr:to>
        <xdr:pic>
          <xdr:nvPicPr>
            <xdr:cNvPr id="17384" name="Picture 6120">
              <a:extLst>
                <a:ext uri="{FF2B5EF4-FFF2-40B4-BE49-F238E27FC236}">
                  <a16:creationId xmlns:a16="http://schemas.microsoft.com/office/drawing/2014/main" id="{2BF55B79-7FEB-B33A-244E-84693506874F}"/>
                </a:ext>
              </a:extLst>
            </xdr:cNvPr>
            <xdr:cNvPicPr>
              <a:picLocks noChangeAspect="1" noChangeArrowheads="1"/>
              <a:extLst>
                <a:ext uri="{84589F7E-364E-4C9E-8A38-B11213B215E9}">
                  <a14:cameraTool cellRange="Evo" spid="_x0000_s22532"/>
                </a:ext>
              </a:extLst>
            </xdr:cNvPicPr>
          </xdr:nvPicPr>
          <xdr:blipFill>
            <a:blip xmlns:r="http://schemas.openxmlformats.org/officeDocument/2006/relationships" r:embed="rId5"/>
            <a:srcRect b="2045"/>
            <a:stretch>
              <a:fillRect/>
            </a:stretch>
          </xdr:blipFill>
          <xdr:spPr bwMode="auto">
            <a:xfrm>
              <a:off x="9896475" y="23622000"/>
              <a:ext cx="4495800" cy="26384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37</xdr:row>
          <xdr:rowOff>228600</xdr:rowOff>
        </xdr:from>
        <xdr:to>
          <xdr:col>21</xdr:col>
          <xdr:colOff>238125</xdr:colOff>
          <xdr:row>49</xdr:row>
          <xdr:rowOff>142875</xdr:rowOff>
        </xdr:to>
        <xdr:pic>
          <xdr:nvPicPr>
            <xdr:cNvPr id="17385" name="Picture 6121">
              <a:extLst>
                <a:ext uri="{FF2B5EF4-FFF2-40B4-BE49-F238E27FC236}">
                  <a16:creationId xmlns:a16="http://schemas.microsoft.com/office/drawing/2014/main" id="{98709026-9D1E-4483-EF31-EF3C7A0DB82C}"/>
                </a:ext>
              </a:extLst>
            </xdr:cNvPr>
            <xdr:cNvPicPr>
              <a:picLocks noChangeAspect="1" noChangeArrowheads="1"/>
              <a:extLst>
                <a:ext uri="{84589F7E-364E-4C9E-8A38-B11213B215E9}">
                  <a14:cameraTool cellRange="BEAM" spid="_x0000_s22533"/>
                </a:ext>
              </a:extLst>
            </xdr:cNvPicPr>
          </xdr:nvPicPr>
          <xdr:blipFill>
            <a:blip xmlns:r="http://schemas.openxmlformats.org/officeDocument/2006/relationships" r:embed="rId9"/>
            <a:srcRect/>
            <a:stretch>
              <a:fillRect/>
            </a:stretch>
          </xdr:blipFill>
          <xdr:spPr bwMode="auto">
            <a:xfrm>
              <a:off x="10382250" y="7391400"/>
              <a:ext cx="4152900" cy="2209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428625</xdr:colOff>
          <xdr:row>143</xdr:row>
          <xdr:rowOff>123825</xdr:rowOff>
        </xdr:from>
        <xdr:to>
          <xdr:col>18</xdr:col>
          <xdr:colOff>47625</xdr:colOff>
          <xdr:row>149</xdr:row>
          <xdr:rowOff>95250</xdr:rowOff>
        </xdr:to>
        <xdr:pic>
          <xdr:nvPicPr>
            <xdr:cNvPr id="17386" name="Picture 6122">
              <a:extLst>
                <a:ext uri="{FF2B5EF4-FFF2-40B4-BE49-F238E27FC236}">
                  <a16:creationId xmlns:a16="http://schemas.microsoft.com/office/drawing/2014/main" id="{91A2CA07-25BA-EB9A-2BBD-266531FEDFD9}"/>
                </a:ext>
              </a:extLst>
            </xdr:cNvPr>
            <xdr:cNvPicPr>
              <a:picLocks noChangeAspect="1" noChangeArrowheads="1"/>
              <a:extLst>
                <a:ext uri="{84589F7E-364E-4C9E-8A38-B11213B215E9}">
                  <a14:cameraTool cellRange="img_screw" spid="_x0000_s22534"/>
                </a:ext>
              </a:extLst>
            </xdr:cNvPicPr>
          </xdr:nvPicPr>
          <xdr:blipFill>
            <a:blip xmlns:r="http://schemas.openxmlformats.org/officeDocument/2006/relationships" r:embed="rId10"/>
            <a:srcRect l="13689" t="32503" r="26237"/>
            <a:stretch>
              <a:fillRect/>
            </a:stretch>
          </xdr:blipFill>
          <xdr:spPr bwMode="auto">
            <a:xfrm>
              <a:off x="6572250" y="27470100"/>
              <a:ext cx="4895850" cy="10763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156</xdr:row>
          <xdr:rowOff>180975</xdr:rowOff>
        </xdr:from>
        <xdr:to>
          <xdr:col>18</xdr:col>
          <xdr:colOff>47625</xdr:colOff>
          <xdr:row>162</xdr:row>
          <xdr:rowOff>95250</xdr:rowOff>
        </xdr:to>
        <xdr:pic>
          <xdr:nvPicPr>
            <xdr:cNvPr id="17387" name="Picture 6123">
              <a:extLst>
                <a:ext uri="{FF2B5EF4-FFF2-40B4-BE49-F238E27FC236}">
                  <a16:creationId xmlns:a16="http://schemas.microsoft.com/office/drawing/2014/main" id="{D3E9F933-347F-86A2-A439-F5BFB0E3112F}"/>
                </a:ext>
              </a:extLst>
            </xdr:cNvPr>
            <xdr:cNvPicPr>
              <a:picLocks noChangeAspect="1" noChangeArrowheads="1"/>
              <a:extLst>
                <a:ext uri="{84589F7E-364E-4C9E-8A38-B11213B215E9}">
                  <a14:cameraTool cellRange="img_screw2" spid="_x0000_s22535"/>
                </a:ext>
              </a:extLst>
            </xdr:cNvPicPr>
          </xdr:nvPicPr>
          <xdr:blipFill>
            <a:blip xmlns:r="http://schemas.openxmlformats.org/officeDocument/2006/relationships" r:embed="rId10"/>
            <a:srcRect l="15414" t="30939" r="27034"/>
            <a:stretch>
              <a:fillRect/>
            </a:stretch>
          </xdr:blipFill>
          <xdr:spPr bwMode="auto">
            <a:xfrm>
              <a:off x="6753225" y="29937075"/>
              <a:ext cx="4714875" cy="10477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544285</xdr:colOff>
      <xdr:row>2</xdr:row>
      <xdr:rowOff>462643</xdr:rowOff>
    </xdr:from>
    <xdr:to>
      <xdr:col>1</xdr:col>
      <xdr:colOff>3501117</xdr:colOff>
      <xdr:row>3</xdr:row>
      <xdr:rowOff>205468</xdr:rowOff>
    </xdr:to>
    <xdr:pic>
      <xdr:nvPicPr>
        <xdr:cNvPr id="3" name="Immagine 2">
          <a:extLst>
            <a:ext uri="{FF2B5EF4-FFF2-40B4-BE49-F238E27FC236}">
              <a16:creationId xmlns:a16="http://schemas.microsoft.com/office/drawing/2014/main" id="{5D340F8E-9074-4D28-91ED-2D90F2671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91642" y="8082643"/>
          <a:ext cx="2956832" cy="3552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2985628</xdr:colOff>
      <xdr:row>3</xdr:row>
      <xdr:rowOff>3525394</xdr:rowOff>
    </xdr:to>
    <xdr:pic>
      <xdr:nvPicPr>
        <xdr:cNvPr id="4" name="Immagine 3">
          <a:extLst>
            <a:ext uri="{FF2B5EF4-FFF2-40B4-BE49-F238E27FC236}">
              <a16:creationId xmlns:a16="http://schemas.microsoft.com/office/drawing/2014/main" id="{AA341E94-B7E5-4651-9F89-B692F5CE02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3625" y="11430000"/>
          <a:ext cx="2995153" cy="3487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23812</xdr:rowOff>
    </xdr:from>
    <xdr:to>
      <xdr:col>1</xdr:col>
      <xdr:colOff>2966357</xdr:colOff>
      <xdr:row>4</xdr:row>
      <xdr:rowOff>3519487</xdr:rowOff>
    </xdr:to>
    <xdr:pic>
      <xdr:nvPicPr>
        <xdr:cNvPr id="9" name="Immagine 8">
          <a:extLst>
            <a:ext uri="{FF2B5EF4-FFF2-40B4-BE49-F238E27FC236}">
              <a16:creationId xmlns:a16="http://schemas.microsoft.com/office/drawing/2014/main" id="{AF2F1B25-A807-42A6-8369-0495087C5E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747712"/>
          <a:ext cx="2975882" cy="3495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2828317</xdr:colOff>
      <xdr:row>6</xdr:row>
      <xdr:rowOff>829828</xdr:rowOff>
    </xdr:from>
    <xdr:to>
      <xdr:col>1</xdr:col>
      <xdr:colOff>6510609</xdr:colOff>
      <xdr:row>6</xdr:row>
      <xdr:rowOff>3833091</xdr:rowOff>
    </xdr:to>
    <xdr:pic>
      <xdr:nvPicPr>
        <xdr:cNvPr id="11" name="Immagine 10">
          <a:extLst>
            <a:ext uri="{FF2B5EF4-FFF2-40B4-BE49-F238E27FC236}">
              <a16:creationId xmlns:a16="http://schemas.microsoft.com/office/drawing/2014/main" id="{226AA6C4-7E63-4E21-B2FE-88D011E4063B}"/>
            </a:ext>
          </a:extLst>
        </xdr:cNvPr>
        <xdr:cNvPicPr>
          <a:picLocks noChangeAspect="1"/>
        </xdr:cNvPicPr>
      </xdr:nvPicPr>
      <xdr:blipFill>
        <a:blip xmlns:r="http://schemas.openxmlformats.org/officeDocument/2006/relationships" r:embed="rId4"/>
        <a:stretch>
          <a:fillRect/>
        </a:stretch>
      </xdr:blipFill>
      <xdr:spPr>
        <a:xfrm>
          <a:off x="6177942" y="24007328"/>
          <a:ext cx="3682292" cy="3003263"/>
        </a:xfrm>
        <a:prstGeom prst="rect">
          <a:avLst/>
        </a:prstGeom>
      </xdr:spPr>
    </xdr:pic>
    <xdr:clientData/>
  </xdr:twoCellAnchor>
  <xdr:twoCellAnchor editAs="oneCell">
    <xdr:from>
      <xdr:col>1</xdr:col>
      <xdr:colOff>34637</xdr:colOff>
      <xdr:row>5</xdr:row>
      <xdr:rowOff>499678</xdr:rowOff>
    </xdr:from>
    <xdr:to>
      <xdr:col>1</xdr:col>
      <xdr:colOff>3429001</xdr:colOff>
      <xdr:row>5</xdr:row>
      <xdr:rowOff>3082928</xdr:rowOff>
    </xdr:to>
    <xdr:pic>
      <xdr:nvPicPr>
        <xdr:cNvPr id="8" name="Immagine 7">
          <a:extLst>
            <a:ext uri="{FF2B5EF4-FFF2-40B4-BE49-F238E27FC236}">
              <a16:creationId xmlns:a16="http://schemas.microsoft.com/office/drawing/2014/main" id="{877A1B7E-281B-E24D-8E2D-54FBD9027C08}"/>
            </a:ext>
          </a:extLst>
        </xdr:cNvPr>
        <xdr:cNvPicPr>
          <a:picLocks noChangeAspect="1"/>
        </xdr:cNvPicPr>
      </xdr:nvPicPr>
      <xdr:blipFill>
        <a:blip xmlns:r="http://schemas.openxmlformats.org/officeDocument/2006/relationships" r:embed="rId5"/>
        <a:stretch>
          <a:fillRect/>
        </a:stretch>
      </xdr:blipFill>
      <xdr:spPr>
        <a:xfrm>
          <a:off x="3373990" y="19549678"/>
          <a:ext cx="3394364" cy="2583250"/>
        </a:xfrm>
        <a:prstGeom prst="rect">
          <a:avLst/>
        </a:prstGeom>
      </xdr:spPr>
    </xdr:pic>
    <xdr:clientData/>
  </xdr:twoCellAnchor>
  <xdr:twoCellAnchor editAs="oneCell">
    <xdr:from>
      <xdr:col>1</xdr:col>
      <xdr:colOff>585931</xdr:colOff>
      <xdr:row>6</xdr:row>
      <xdr:rowOff>871682</xdr:rowOff>
    </xdr:from>
    <xdr:to>
      <xdr:col>1</xdr:col>
      <xdr:colOff>1879562</xdr:colOff>
      <xdr:row>6</xdr:row>
      <xdr:rowOff>4080295</xdr:rowOff>
    </xdr:to>
    <xdr:pic>
      <xdr:nvPicPr>
        <xdr:cNvPr id="5" name="Immagine 4">
          <a:extLst>
            <a:ext uri="{FF2B5EF4-FFF2-40B4-BE49-F238E27FC236}">
              <a16:creationId xmlns:a16="http://schemas.microsoft.com/office/drawing/2014/main" id="{07AD4378-695E-00A7-B920-7ABD227579F3}"/>
            </a:ext>
          </a:extLst>
        </xdr:cNvPr>
        <xdr:cNvPicPr>
          <a:picLocks noChangeAspect="1"/>
        </xdr:cNvPicPr>
      </xdr:nvPicPr>
      <xdr:blipFill>
        <a:blip xmlns:r="http://schemas.openxmlformats.org/officeDocument/2006/relationships" r:embed="rId6"/>
        <a:stretch>
          <a:fillRect/>
        </a:stretch>
      </xdr:blipFill>
      <xdr:spPr>
        <a:xfrm>
          <a:off x="3935556" y="24049182"/>
          <a:ext cx="1293631" cy="3208613"/>
        </a:xfrm>
        <a:prstGeom prst="rect">
          <a:avLst/>
        </a:prstGeom>
      </xdr:spPr>
    </xdr:pic>
    <xdr:clientData/>
  </xdr:twoCellAnchor>
  <xdr:twoCellAnchor editAs="oneCell">
    <xdr:from>
      <xdr:col>0</xdr:col>
      <xdr:colOff>3273989</xdr:colOff>
      <xdr:row>0</xdr:row>
      <xdr:rowOff>843642</xdr:rowOff>
    </xdr:from>
    <xdr:to>
      <xdr:col>1</xdr:col>
      <xdr:colOff>3444958</xdr:colOff>
      <xdr:row>0</xdr:row>
      <xdr:rowOff>3238499</xdr:rowOff>
    </xdr:to>
    <xdr:pic>
      <xdr:nvPicPr>
        <xdr:cNvPr id="6" name="Immagine 5">
          <a:extLst>
            <a:ext uri="{FF2B5EF4-FFF2-40B4-BE49-F238E27FC236}">
              <a16:creationId xmlns:a16="http://schemas.microsoft.com/office/drawing/2014/main" id="{1E70429C-72A3-F346-DC85-0CA88B01F3BD}"/>
            </a:ext>
          </a:extLst>
        </xdr:cNvPr>
        <xdr:cNvPicPr>
          <a:picLocks noChangeAspect="1"/>
        </xdr:cNvPicPr>
      </xdr:nvPicPr>
      <xdr:blipFill rotWithShape="1">
        <a:blip xmlns:r="http://schemas.openxmlformats.org/officeDocument/2006/relationships" r:embed="rId7"/>
        <a:srcRect r="55429"/>
        <a:stretch/>
      </xdr:blipFill>
      <xdr:spPr>
        <a:xfrm>
          <a:off x="3273989" y="843642"/>
          <a:ext cx="3518326" cy="2394857"/>
        </a:xfrm>
        <a:prstGeom prst="rect">
          <a:avLst/>
        </a:prstGeom>
      </xdr:spPr>
    </xdr:pic>
    <xdr:clientData/>
  </xdr:twoCellAnchor>
  <xdr:twoCellAnchor editAs="oneCell">
    <xdr:from>
      <xdr:col>1</xdr:col>
      <xdr:colOff>1496786</xdr:colOff>
      <xdr:row>1</xdr:row>
      <xdr:rowOff>609920</xdr:rowOff>
    </xdr:from>
    <xdr:to>
      <xdr:col>1</xdr:col>
      <xdr:colOff>2665535</xdr:colOff>
      <xdr:row>1</xdr:row>
      <xdr:rowOff>3374571</xdr:rowOff>
    </xdr:to>
    <xdr:pic>
      <xdr:nvPicPr>
        <xdr:cNvPr id="7" name="Immagine 6">
          <a:extLst>
            <a:ext uri="{FF2B5EF4-FFF2-40B4-BE49-F238E27FC236}">
              <a16:creationId xmlns:a16="http://schemas.microsoft.com/office/drawing/2014/main" id="{AF68EE56-7413-11E8-BAB2-0B623047420A}"/>
            </a:ext>
          </a:extLst>
        </xdr:cNvPr>
        <xdr:cNvPicPr>
          <a:picLocks noChangeAspect="1"/>
        </xdr:cNvPicPr>
      </xdr:nvPicPr>
      <xdr:blipFill rotWithShape="1">
        <a:blip xmlns:r="http://schemas.openxmlformats.org/officeDocument/2006/relationships" r:embed="rId8"/>
        <a:srcRect l="58347"/>
        <a:stretch/>
      </xdr:blipFill>
      <xdr:spPr>
        <a:xfrm>
          <a:off x="4844143" y="4419920"/>
          <a:ext cx="1168749" cy="2764651"/>
        </a:xfrm>
        <a:prstGeom prst="rect">
          <a:avLst/>
        </a:prstGeom>
      </xdr:spPr>
    </xdr:pic>
    <xdr:clientData/>
  </xdr:twoCellAnchor>
  <xdr:twoCellAnchor editAs="oneCell">
    <xdr:from>
      <xdr:col>1</xdr:col>
      <xdr:colOff>3755572</xdr:colOff>
      <xdr:row>1</xdr:row>
      <xdr:rowOff>585108</xdr:rowOff>
    </xdr:from>
    <xdr:to>
      <xdr:col>1</xdr:col>
      <xdr:colOff>6855529</xdr:colOff>
      <xdr:row>1</xdr:row>
      <xdr:rowOff>3442576</xdr:rowOff>
    </xdr:to>
    <xdr:pic>
      <xdr:nvPicPr>
        <xdr:cNvPr id="13" name="Immagine 12">
          <a:extLst>
            <a:ext uri="{FF2B5EF4-FFF2-40B4-BE49-F238E27FC236}">
              <a16:creationId xmlns:a16="http://schemas.microsoft.com/office/drawing/2014/main" id="{2B2A4A03-30BC-5254-9F6E-124DB23F03F1}"/>
            </a:ext>
          </a:extLst>
        </xdr:cNvPr>
        <xdr:cNvPicPr>
          <a:picLocks noChangeAspect="1"/>
        </xdr:cNvPicPr>
      </xdr:nvPicPr>
      <xdr:blipFill rotWithShape="1">
        <a:blip xmlns:r="http://schemas.openxmlformats.org/officeDocument/2006/relationships" r:embed="rId9"/>
        <a:srcRect l="37332"/>
        <a:stretch/>
      </xdr:blipFill>
      <xdr:spPr>
        <a:xfrm>
          <a:off x="7102929" y="4395108"/>
          <a:ext cx="3099957" cy="2857468"/>
        </a:xfrm>
        <a:prstGeom prst="rect">
          <a:avLst/>
        </a:prstGeom>
      </xdr:spPr>
    </xdr:pic>
    <xdr:clientData/>
  </xdr:twoCellAnchor>
  <xdr:twoCellAnchor editAs="oneCell">
    <xdr:from>
      <xdr:col>1</xdr:col>
      <xdr:colOff>258535</xdr:colOff>
      <xdr:row>8</xdr:row>
      <xdr:rowOff>258536</xdr:rowOff>
    </xdr:from>
    <xdr:to>
      <xdr:col>1</xdr:col>
      <xdr:colOff>7063316</xdr:colOff>
      <xdr:row>8</xdr:row>
      <xdr:rowOff>3769684</xdr:rowOff>
    </xdr:to>
    <xdr:pic>
      <xdr:nvPicPr>
        <xdr:cNvPr id="2" name="Immagine 1">
          <a:extLst>
            <a:ext uri="{FF2B5EF4-FFF2-40B4-BE49-F238E27FC236}">
              <a16:creationId xmlns:a16="http://schemas.microsoft.com/office/drawing/2014/main" id="{64B8A533-C62B-240F-A6CB-8F00BBC46FFA}"/>
            </a:ext>
          </a:extLst>
        </xdr:cNvPr>
        <xdr:cNvPicPr>
          <a:picLocks noChangeAspect="1"/>
        </xdr:cNvPicPr>
      </xdr:nvPicPr>
      <xdr:blipFill>
        <a:blip xmlns:r="http://schemas.openxmlformats.org/officeDocument/2006/relationships" r:embed="rId10"/>
        <a:stretch>
          <a:fillRect/>
        </a:stretch>
      </xdr:blipFill>
      <xdr:spPr>
        <a:xfrm>
          <a:off x="3605892" y="31881536"/>
          <a:ext cx="6804781" cy="3511148"/>
        </a:xfrm>
        <a:prstGeom prst="rect">
          <a:avLst/>
        </a:prstGeom>
      </xdr:spPr>
    </xdr:pic>
    <xdr:clientData/>
  </xdr:twoCellAnchor>
  <xdr:twoCellAnchor editAs="oneCell">
    <xdr:from>
      <xdr:col>1</xdr:col>
      <xdr:colOff>258534</xdr:colOff>
      <xdr:row>7</xdr:row>
      <xdr:rowOff>284378</xdr:rowOff>
    </xdr:from>
    <xdr:to>
      <xdr:col>1</xdr:col>
      <xdr:colOff>6994071</xdr:colOff>
      <xdr:row>7</xdr:row>
      <xdr:rowOff>3937289</xdr:rowOff>
    </xdr:to>
    <xdr:pic>
      <xdr:nvPicPr>
        <xdr:cNvPr id="12" name="Immagine 11">
          <a:extLst>
            <a:ext uri="{FF2B5EF4-FFF2-40B4-BE49-F238E27FC236}">
              <a16:creationId xmlns:a16="http://schemas.microsoft.com/office/drawing/2014/main" id="{E056C332-43DF-860C-AD15-14C729EAE4D1}"/>
            </a:ext>
          </a:extLst>
        </xdr:cNvPr>
        <xdr:cNvPicPr>
          <a:picLocks noChangeAspect="1"/>
        </xdr:cNvPicPr>
      </xdr:nvPicPr>
      <xdr:blipFill>
        <a:blip xmlns:r="http://schemas.openxmlformats.org/officeDocument/2006/relationships" r:embed="rId11"/>
        <a:stretch>
          <a:fillRect/>
        </a:stretch>
      </xdr:blipFill>
      <xdr:spPr>
        <a:xfrm>
          <a:off x="3605891" y="27648342"/>
          <a:ext cx="6735537" cy="3652911"/>
        </a:xfrm>
        <a:prstGeom prst="rect">
          <a:avLst/>
        </a:prstGeom>
      </xdr:spPr>
    </xdr:pic>
    <xdr:clientData/>
  </xdr:twoCellAnchor>
  <xdr:twoCellAnchor editAs="oneCell">
    <xdr:from>
      <xdr:col>1</xdr:col>
      <xdr:colOff>3443741</xdr:colOff>
      <xdr:row>0</xdr:row>
      <xdr:rowOff>843643</xdr:rowOff>
    </xdr:from>
    <xdr:to>
      <xdr:col>1</xdr:col>
      <xdr:colOff>7127009</xdr:colOff>
      <xdr:row>0</xdr:row>
      <xdr:rowOff>3224893</xdr:rowOff>
    </xdr:to>
    <xdr:pic>
      <xdr:nvPicPr>
        <xdr:cNvPr id="14" name="Immagine 13">
          <a:extLst>
            <a:ext uri="{FF2B5EF4-FFF2-40B4-BE49-F238E27FC236}">
              <a16:creationId xmlns:a16="http://schemas.microsoft.com/office/drawing/2014/main" id="{2159C5D4-8EC0-8AAA-422B-69EB7C705046}"/>
            </a:ext>
          </a:extLst>
        </xdr:cNvPr>
        <xdr:cNvPicPr>
          <a:picLocks noChangeAspect="1"/>
        </xdr:cNvPicPr>
      </xdr:nvPicPr>
      <xdr:blipFill rotWithShape="1">
        <a:blip xmlns:r="http://schemas.openxmlformats.org/officeDocument/2006/relationships" r:embed="rId7"/>
        <a:srcRect l="53073"/>
        <a:stretch/>
      </xdr:blipFill>
      <xdr:spPr>
        <a:xfrm>
          <a:off x="6791098" y="843643"/>
          <a:ext cx="3683268" cy="2381250"/>
        </a:xfrm>
        <a:prstGeom prst="rect">
          <a:avLst/>
        </a:prstGeom>
      </xdr:spPr>
    </xdr:pic>
    <xdr:clientData/>
  </xdr:twoCellAnchor>
  <xdr:twoCellAnchor editAs="oneCell">
    <xdr:from>
      <xdr:col>1</xdr:col>
      <xdr:colOff>936883</xdr:colOff>
      <xdr:row>10</xdr:row>
      <xdr:rowOff>444500</xdr:rowOff>
    </xdr:from>
    <xdr:to>
      <xdr:col>1</xdr:col>
      <xdr:colOff>3556000</xdr:colOff>
      <xdr:row>10</xdr:row>
      <xdr:rowOff>1478545</xdr:rowOff>
    </xdr:to>
    <xdr:pic>
      <xdr:nvPicPr>
        <xdr:cNvPr id="20" name="Immagine 17">
          <a:extLst>
            <a:ext uri="{FF2B5EF4-FFF2-40B4-BE49-F238E27FC236}">
              <a16:creationId xmlns:a16="http://schemas.microsoft.com/office/drawing/2014/main" id="{8D282405-3A60-E339-267C-A1661B3F5BDE}"/>
            </a:ext>
          </a:extLst>
        </xdr:cNvPr>
        <xdr:cNvPicPr>
          <a:picLocks noChangeAspect="1"/>
        </xdr:cNvPicPr>
      </xdr:nvPicPr>
      <xdr:blipFill>
        <a:blip xmlns:r="http://schemas.openxmlformats.org/officeDocument/2006/relationships" r:embed="rId12"/>
        <a:stretch>
          <a:fillRect/>
        </a:stretch>
      </xdr:blipFill>
      <xdr:spPr>
        <a:xfrm rot="16200000">
          <a:off x="5079044" y="36291464"/>
          <a:ext cx="1034045" cy="2619117"/>
        </a:xfrm>
        <a:prstGeom prst="rect">
          <a:avLst/>
        </a:prstGeom>
      </xdr:spPr>
    </xdr:pic>
    <xdr:clientData/>
  </xdr:twoCellAnchor>
  <xdr:twoCellAnchor editAs="oneCell">
    <xdr:from>
      <xdr:col>1</xdr:col>
      <xdr:colOff>1009579</xdr:colOff>
      <xdr:row>11</xdr:row>
      <xdr:rowOff>251416</xdr:rowOff>
    </xdr:from>
    <xdr:to>
      <xdr:col>1</xdr:col>
      <xdr:colOff>4127503</xdr:colOff>
      <xdr:row>11</xdr:row>
      <xdr:rowOff>1638934</xdr:rowOff>
    </xdr:to>
    <xdr:pic>
      <xdr:nvPicPr>
        <xdr:cNvPr id="18" name="Immagine 18">
          <a:extLst>
            <a:ext uri="{FF2B5EF4-FFF2-40B4-BE49-F238E27FC236}">
              <a16:creationId xmlns:a16="http://schemas.microsoft.com/office/drawing/2014/main" id="{467C82B1-4E5F-051A-B6E5-E49437E21954}"/>
            </a:ext>
          </a:extLst>
        </xdr:cNvPr>
        <xdr:cNvPicPr>
          <a:picLocks noChangeAspect="1"/>
        </xdr:cNvPicPr>
      </xdr:nvPicPr>
      <xdr:blipFill>
        <a:blip xmlns:r="http://schemas.openxmlformats.org/officeDocument/2006/relationships" r:embed="rId13"/>
        <a:stretch>
          <a:fillRect/>
        </a:stretch>
      </xdr:blipFill>
      <xdr:spPr>
        <a:xfrm rot="16200000">
          <a:off x="5559687" y="37817683"/>
          <a:ext cx="1383708" cy="3117924"/>
        </a:xfrm>
        <a:prstGeom prst="rect">
          <a:avLst/>
        </a:prstGeom>
      </xdr:spPr>
    </xdr:pic>
    <xdr:clientData/>
  </xdr:twoCellAnchor>
  <xdr:twoCellAnchor editAs="oneCell">
    <xdr:from>
      <xdr:col>1</xdr:col>
      <xdr:colOff>229764</xdr:colOff>
      <xdr:row>12</xdr:row>
      <xdr:rowOff>544285</xdr:rowOff>
    </xdr:from>
    <xdr:to>
      <xdr:col>1</xdr:col>
      <xdr:colOff>7052889</xdr:colOff>
      <xdr:row>12</xdr:row>
      <xdr:rowOff>3429000</xdr:rowOff>
    </xdr:to>
    <xdr:pic>
      <xdr:nvPicPr>
        <xdr:cNvPr id="24" name="Immagine 23">
          <a:extLst>
            <a:ext uri="{FF2B5EF4-FFF2-40B4-BE49-F238E27FC236}">
              <a16:creationId xmlns:a16="http://schemas.microsoft.com/office/drawing/2014/main" id="{24366519-06C0-B2BF-A0C0-7B412A0BBEF8}"/>
            </a:ext>
          </a:extLst>
        </xdr:cNvPr>
        <xdr:cNvPicPr>
          <a:picLocks noChangeAspect="1"/>
        </xdr:cNvPicPr>
      </xdr:nvPicPr>
      <xdr:blipFill>
        <a:blip xmlns:r="http://schemas.openxmlformats.org/officeDocument/2006/relationships" r:embed="rId14"/>
        <a:stretch>
          <a:fillRect/>
        </a:stretch>
      </xdr:blipFill>
      <xdr:spPr>
        <a:xfrm>
          <a:off x="3577121" y="47856321"/>
          <a:ext cx="6823125" cy="2884715"/>
        </a:xfrm>
        <a:prstGeom prst="rect">
          <a:avLst/>
        </a:prstGeom>
      </xdr:spPr>
    </xdr:pic>
    <xdr:clientData/>
  </xdr:twoCellAnchor>
  <xdr:twoCellAnchor editAs="oneCell">
    <xdr:from>
      <xdr:col>1</xdr:col>
      <xdr:colOff>838439</xdr:colOff>
      <xdr:row>9</xdr:row>
      <xdr:rowOff>428624</xdr:rowOff>
    </xdr:from>
    <xdr:to>
      <xdr:col>1</xdr:col>
      <xdr:colOff>4111625</xdr:colOff>
      <xdr:row>10</xdr:row>
      <xdr:rowOff>172175</xdr:rowOff>
    </xdr:to>
    <xdr:pic>
      <xdr:nvPicPr>
        <xdr:cNvPr id="17" name="Immagine 16">
          <a:extLst>
            <a:ext uri="{FF2B5EF4-FFF2-40B4-BE49-F238E27FC236}">
              <a16:creationId xmlns:a16="http://schemas.microsoft.com/office/drawing/2014/main" id="{4E09F0C9-F490-DCBA-3D97-54E426509D37}"/>
            </a:ext>
          </a:extLst>
        </xdr:cNvPr>
        <xdr:cNvPicPr>
          <a:picLocks noChangeAspect="1"/>
        </xdr:cNvPicPr>
      </xdr:nvPicPr>
      <xdr:blipFill>
        <a:blip xmlns:r="http://schemas.openxmlformats.org/officeDocument/2006/relationships" r:embed="rId15"/>
        <a:stretch>
          <a:fillRect/>
        </a:stretch>
      </xdr:blipFill>
      <xdr:spPr>
        <a:xfrm rot="16200000">
          <a:off x="5389319" y="34739744"/>
          <a:ext cx="870676" cy="3273186"/>
        </a:xfrm>
        <a:prstGeom prst="rect">
          <a:avLst/>
        </a:prstGeom>
      </xdr:spPr>
    </xdr:pic>
    <xdr:clientData/>
  </xdr:twoCellAnchor>
  <xdr:twoCellAnchor>
    <xdr:from>
      <xdr:col>1</xdr:col>
      <xdr:colOff>3137648</xdr:colOff>
      <xdr:row>5</xdr:row>
      <xdr:rowOff>935182</xdr:rowOff>
    </xdr:from>
    <xdr:to>
      <xdr:col>1</xdr:col>
      <xdr:colOff>7228998</xdr:colOff>
      <xdr:row>5</xdr:row>
      <xdr:rowOff>3723410</xdr:rowOff>
    </xdr:to>
    <xdr:grpSp>
      <xdr:nvGrpSpPr>
        <xdr:cNvPr id="16" name="Gruppo 15">
          <a:extLst>
            <a:ext uri="{FF2B5EF4-FFF2-40B4-BE49-F238E27FC236}">
              <a16:creationId xmlns:a16="http://schemas.microsoft.com/office/drawing/2014/main" id="{373BE736-3C7C-3988-130D-F66E1A96AD84}"/>
            </a:ext>
          </a:extLst>
        </xdr:cNvPr>
        <xdr:cNvGrpSpPr/>
      </xdr:nvGrpSpPr>
      <xdr:grpSpPr>
        <a:xfrm>
          <a:off x="6480923" y="19985182"/>
          <a:ext cx="4091350" cy="2788228"/>
          <a:chOff x="6913193" y="19985182"/>
          <a:chExt cx="3655157" cy="2788228"/>
        </a:xfrm>
      </xdr:grpSpPr>
      <xdr:pic>
        <xdr:nvPicPr>
          <xdr:cNvPr id="10" name="Immagine 9">
            <a:extLst>
              <a:ext uri="{FF2B5EF4-FFF2-40B4-BE49-F238E27FC236}">
                <a16:creationId xmlns:a16="http://schemas.microsoft.com/office/drawing/2014/main" id="{F15C3793-244C-5AF2-AED8-EAF9DFE8CB9A}"/>
              </a:ext>
            </a:extLst>
          </xdr:cNvPr>
          <xdr:cNvPicPr>
            <a:picLocks noChangeAspect="1"/>
          </xdr:cNvPicPr>
        </xdr:nvPicPr>
        <xdr:blipFill>
          <a:blip xmlns:r="http://schemas.openxmlformats.org/officeDocument/2006/relationships" r:embed="rId16"/>
          <a:stretch>
            <a:fillRect/>
          </a:stretch>
        </xdr:blipFill>
        <xdr:spPr>
          <a:xfrm>
            <a:off x="6913193" y="19985182"/>
            <a:ext cx="3655157" cy="2788228"/>
          </a:xfrm>
          <a:prstGeom prst="rect">
            <a:avLst/>
          </a:prstGeom>
        </xdr:spPr>
      </xdr:pic>
      <xdr:sp macro="" textlink="">
        <xdr:nvSpPr>
          <xdr:cNvPr id="15" name="Rettangolo 14">
            <a:extLst>
              <a:ext uri="{FF2B5EF4-FFF2-40B4-BE49-F238E27FC236}">
                <a16:creationId xmlns:a16="http://schemas.microsoft.com/office/drawing/2014/main" id="{51D56D35-7D01-9DD8-AF7D-0ED13A5ADF4A}"/>
              </a:ext>
            </a:extLst>
          </xdr:cNvPr>
          <xdr:cNvSpPr/>
        </xdr:nvSpPr>
        <xdr:spPr>
          <a:xfrm>
            <a:off x="8692403" y="22440900"/>
            <a:ext cx="847725" cy="3048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41</xdr:row>
      <xdr:rowOff>9392</xdr:rowOff>
    </xdr:from>
    <xdr:to>
      <xdr:col>9</xdr:col>
      <xdr:colOff>504825</xdr:colOff>
      <xdr:row>88</xdr:row>
      <xdr:rowOff>76985</xdr:rowOff>
    </xdr:to>
    <xdr:pic>
      <xdr:nvPicPr>
        <xdr:cNvPr id="2" name="Immagine 1">
          <a:extLst>
            <a:ext uri="{FF2B5EF4-FFF2-40B4-BE49-F238E27FC236}">
              <a16:creationId xmlns:a16="http://schemas.microsoft.com/office/drawing/2014/main" id="{6C0245B1-0ECD-4749-AE87-0BD535C2AB13}"/>
            </a:ext>
          </a:extLst>
        </xdr:cNvPr>
        <xdr:cNvPicPr>
          <a:picLocks noChangeAspect="1"/>
        </xdr:cNvPicPr>
      </xdr:nvPicPr>
      <xdr:blipFill>
        <a:blip xmlns:r="http://schemas.openxmlformats.org/officeDocument/2006/relationships" r:embed="rId1"/>
        <a:stretch>
          <a:fillRect/>
        </a:stretch>
      </xdr:blipFill>
      <xdr:spPr>
        <a:xfrm>
          <a:off x="200025" y="6648317"/>
          <a:ext cx="10801350" cy="7678068"/>
        </a:xfrm>
        <a:prstGeom prst="rect">
          <a:avLst/>
        </a:prstGeom>
      </xdr:spPr>
    </xdr:pic>
    <xdr:clientData/>
  </xdr:twoCellAnchor>
  <xdr:twoCellAnchor editAs="oneCell">
    <xdr:from>
      <xdr:col>5</xdr:col>
      <xdr:colOff>1600204</xdr:colOff>
      <xdr:row>29</xdr:row>
      <xdr:rowOff>14724</xdr:rowOff>
    </xdr:from>
    <xdr:to>
      <xdr:col>7</xdr:col>
      <xdr:colOff>114304</xdr:colOff>
      <xdr:row>40</xdr:row>
      <xdr:rowOff>12939</xdr:rowOff>
    </xdr:to>
    <xdr:pic>
      <xdr:nvPicPr>
        <xdr:cNvPr id="6" name="Immagine 5">
          <a:extLst>
            <a:ext uri="{FF2B5EF4-FFF2-40B4-BE49-F238E27FC236}">
              <a16:creationId xmlns:a16="http://schemas.microsoft.com/office/drawing/2014/main" id="{C3925CD1-E7FB-298E-3D6B-EE35C1979225}"/>
            </a:ext>
          </a:extLst>
        </xdr:cNvPr>
        <xdr:cNvPicPr>
          <a:picLocks noChangeAspect="1"/>
        </xdr:cNvPicPr>
      </xdr:nvPicPr>
      <xdr:blipFill>
        <a:blip xmlns:r="http://schemas.openxmlformats.org/officeDocument/2006/relationships" r:embed="rId2"/>
        <a:stretch>
          <a:fillRect/>
        </a:stretch>
      </xdr:blipFill>
      <xdr:spPr>
        <a:xfrm rot="5400000" flipV="1">
          <a:off x="7630422" y="4881106"/>
          <a:ext cx="1779390" cy="1438275"/>
        </a:xfrm>
        <a:prstGeom prst="rect">
          <a:avLst/>
        </a:prstGeom>
      </xdr:spPr>
    </xdr:pic>
    <xdr:clientData/>
  </xdr:twoCellAnchor>
  <xdr:twoCellAnchor editAs="oneCell">
    <xdr:from>
      <xdr:col>0</xdr:col>
      <xdr:colOff>333375</xdr:colOff>
      <xdr:row>30</xdr:row>
      <xdr:rowOff>9525</xdr:rowOff>
    </xdr:from>
    <xdr:to>
      <xdr:col>5</xdr:col>
      <xdr:colOff>1591716</xdr:colOff>
      <xdr:row>39</xdr:row>
      <xdr:rowOff>152623</xdr:rowOff>
    </xdr:to>
    <xdr:pic>
      <xdr:nvPicPr>
        <xdr:cNvPr id="9" name="Immagine 8">
          <a:extLst>
            <a:ext uri="{FF2B5EF4-FFF2-40B4-BE49-F238E27FC236}">
              <a16:creationId xmlns:a16="http://schemas.microsoft.com/office/drawing/2014/main" id="{F64ED130-83CB-5CEB-6429-86F149884B84}"/>
            </a:ext>
          </a:extLst>
        </xdr:cNvPr>
        <xdr:cNvPicPr>
          <a:picLocks noChangeAspect="1"/>
        </xdr:cNvPicPr>
      </xdr:nvPicPr>
      <xdr:blipFill>
        <a:blip xmlns:r="http://schemas.openxmlformats.org/officeDocument/2006/relationships" r:embed="rId3"/>
        <a:stretch>
          <a:fillRect/>
        </a:stretch>
      </xdr:blipFill>
      <xdr:spPr>
        <a:xfrm>
          <a:off x="333375" y="4057650"/>
          <a:ext cx="7459116" cy="1600423"/>
        </a:xfrm>
        <a:prstGeom prst="rect">
          <a:avLst/>
        </a:prstGeom>
      </xdr:spPr>
    </xdr:pic>
    <xdr:clientData/>
  </xdr:twoCellAnchor>
  <xdr:twoCellAnchor editAs="oneCell">
    <xdr:from>
      <xdr:col>12</xdr:col>
      <xdr:colOff>0</xdr:colOff>
      <xdr:row>36</xdr:row>
      <xdr:rowOff>0</xdr:rowOff>
    </xdr:from>
    <xdr:to>
      <xdr:col>17</xdr:col>
      <xdr:colOff>57150</xdr:colOff>
      <xdr:row>51</xdr:row>
      <xdr:rowOff>119063</xdr:rowOff>
    </xdr:to>
    <xdr:pic>
      <xdr:nvPicPr>
        <xdr:cNvPr id="5" name="Immagine 4">
          <a:extLst>
            <a:ext uri="{FF2B5EF4-FFF2-40B4-BE49-F238E27FC236}">
              <a16:creationId xmlns:a16="http://schemas.microsoft.com/office/drawing/2014/main" id="{69EDECEF-37B1-40F4-A805-6106FCFA3779}"/>
            </a:ext>
          </a:extLst>
        </xdr:cNvPr>
        <xdr:cNvPicPr>
          <a:picLocks noChangeAspect="1"/>
        </xdr:cNvPicPr>
      </xdr:nvPicPr>
      <xdr:blipFill>
        <a:blip xmlns:r="http://schemas.openxmlformats.org/officeDocument/2006/relationships" r:embed="rId4"/>
        <a:stretch>
          <a:fillRect/>
        </a:stretch>
      </xdr:blipFill>
      <xdr:spPr>
        <a:xfrm>
          <a:off x="14125575" y="5829300"/>
          <a:ext cx="3895725" cy="2547938"/>
        </a:xfrm>
        <a:prstGeom prst="rect">
          <a:avLst/>
        </a:prstGeom>
      </xdr:spPr>
    </xdr:pic>
    <xdr:clientData/>
  </xdr:twoCellAnchor>
  <xdr:twoCellAnchor editAs="oneCell">
    <xdr:from>
      <xdr:col>12</xdr:col>
      <xdr:colOff>0</xdr:colOff>
      <xdr:row>53</xdr:row>
      <xdr:rowOff>95250</xdr:rowOff>
    </xdr:from>
    <xdr:to>
      <xdr:col>16</xdr:col>
      <xdr:colOff>390525</xdr:colOff>
      <xdr:row>73</xdr:row>
      <xdr:rowOff>26013</xdr:rowOff>
    </xdr:to>
    <xdr:pic>
      <xdr:nvPicPr>
        <xdr:cNvPr id="7" name="Immagine 6">
          <a:extLst>
            <a:ext uri="{FF2B5EF4-FFF2-40B4-BE49-F238E27FC236}">
              <a16:creationId xmlns:a16="http://schemas.microsoft.com/office/drawing/2014/main" id="{A96AAF97-A7FF-42E6-8695-71F64BFDAC3B}"/>
            </a:ext>
          </a:extLst>
        </xdr:cNvPr>
        <xdr:cNvPicPr>
          <a:picLocks noChangeAspect="1"/>
        </xdr:cNvPicPr>
      </xdr:nvPicPr>
      <xdr:blipFill>
        <a:blip xmlns:r="http://schemas.openxmlformats.org/officeDocument/2006/relationships" r:embed="rId5"/>
        <a:stretch>
          <a:fillRect/>
        </a:stretch>
      </xdr:blipFill>
      <xdr:spPr>
        <a:xfrm>
          <a:off x="14125575" y="8677275"/>
          <a:ext cx="3543300" cy="3169263"/>
        </a:xfrm>
        <a:prstGeom prst="rect">
          <a:avLst/>
        </a:prstGeom>
      </xdr:spPr>
    </xdr:pic>
    <xdr:clientData/>
  </xdr:twoCellAnchor>
  <xdr:twoCellAnchor editAs="oneCell">
    <xdr:from>
      <xdr:col>11</xdr:col>
      <xdr:colOff>0</xdr:colOff>
      <xdr:row>77</xdr:row>
      <xdr:rowOff>0</xdr:rowOff>
    </xdr:from>
    <xdr:to>
      <xdr:col>19</xdr:col>
      <xdr:colOff>100012</xdr:colOff>
      <xdr:row>88</xdr:row>
      <xdr:rowOff>65479</xdr:rowOff>
    </xdr:to>
    <xdr:pic>
      <xdr:nvPicPr>
        <xdr:cNvPr id="10" name="Immagine 9">
          <a:extLst>
            <a:ext uri="{FF2B5EF4-FFF2-40B4-BE49-F238E27FC236}">
              <a16:creationId xmlns:a16="http://schemas.microsoft.com/office/drawing/2014/main" id="{9D0F907D-63F3-4CD5-B0F2-7A7F8D619FFF}"/>
            </a:ext>
          </a:extLst>
        </xdr:cNvPr>
        <xdr:cNvPicPr>
          <a:picLocks noChangeAspect="1"/>
        </xdr:cNvPicPr>
      </xdr:nvPicPr>
      <xdr:blipFill>
        <a:blip xmlns:r="http://schemas.openxmlformats.org/officeDocument/2006/relationships" r:embed="rId6"/>
        <a:stretch>
          <a:fillRect/>
        </a:stretch>
      </xdr:blipFill>
      <xdr:spPr>
        <a:xfrm>
          <a:off x="13439775" y="12468225"/>
          <a:ext cx="6310312" cy="1846654"/>
        </a:xfrm>
        <a:prstGeom prst="rect">
          <a:avLst/>
        </a:prstGeom>
      </xdr:spPr>
    </xdr:pic>
    <xdr:clientData/>
  </xdr:twoCellAnchor>
  <xdr:twoCellAnchor editAs="oneCell">
    <xdr:from>
      <xdr:col>9</xdr:col>
      <xdr:colOff>771525</xdr:colOff>
      <xdr:row>91</xdr:row>
      <xdr:rowOff>140818</xdr:rowOff>
    </xdr:from>
    <xdr:to>
      <xdr:col>17</xdr:col>
      <xdr:colOff>428625</xdr:colOff>
      <xdr:row>115</xdr:row>
      <xdr:rowOff>47625</xdr:rowOff>
    </xdr:to>
    <xdr:pic>
      <xdr:nvPicPr>
        <xdr:cNvPr id="11" name="Immagine 10">
          <a:extLst>
            <a:ext uri="{FF2B5EF4-FFF2-40B4-BE49-F238E27FC236}">
              <a16:creationId xmlns:a16="http://schemas.microsoft.com/office/drawing/2014/main" id="{F8017A4B-CD0F-4085-AC02-F151923EDBCE}"/>
            </a:ext>
          </a:extLst>
        </xdr:cNvPr>
        <xdr:cNvPicPr>
          <a:picLocks noChangeAspect="1"/>
        </xdr:cNvPicPr>
      </xdr:nvPicPr>
      <xdr:blipFill>
        <a:blip xmlns:r="http://schemas.openxmlformats.org/officeDocument/2006/relationships" r:embed="rId7"/>
        <a:stretch>
          <a:fillRect/>
        </a:stretch>
      </xdr:blipFill>
      <xdr:spPr>
        <a:xfrm>
          <a:off x="11268075" y="14875993"/>
          <a:ext cx="7124700" cy="3793007"/>
        </a:xfrm>
        <a:prstGeom prst="rect">
          <a:avLst/>
        </a:prstGeom>
      </xdr:spPr>
    </xdr:pic>
    <xdr:clientData/>
  </xdr:twoCellAnchor>
  <xdr:twoCellAnchor editAs="oneCell">
    <xdr:from>
      <xdr:col>1</xdr:col>
      <xdr:colOff>0</xdr:colOff>
      <xdr:row>93</xdr:row>
      <xdr:rowOff>0</xdr:rowOff>
    </xdr:from>
    <xdr:to>
      <xdr:col>9</xdr:col>
      <xdr:colOff>799468</xdr:colOff>
      <xdr:row>139</xdr:row>
      <xdr:rowOff>156616</xdr:rowOff>
    </xdr:to>
    <xdr:pic>
      <xdr:nvPicPr>
        <xdr:cNvPr id="3" name="Immagine 2">
          <a:extLst>
            <a:ext uri="{FF2B5EF4-FFF2-40B4-BE49-F238E27FC236}">
              <a16:creationId xmlns:a16="http://schemas.microsoft.com/office/drawing/2014/main" id="{F8D3634D-FE8F-32D1-8BB0-E2623D5E3AF2}"/>
            </a:ext>
          </a:extLst>
        </xdr:cNvPr>
        <xdr:cNvPicPr>
          <a:picLocks noChangeAspect="1"/>
        </xdr:cNvPicPr>
      </xdr:nvPicPr>
      <xdr:blipFill>
        <a:blip xmlns:r="http://schemas.openxmlformats.org/officeDocument/2006/relationships" r:embed="rId8"/>
        <a:stretch>
          <a:fillRect/>
        </a:stretch>
      </xdr:blipFill>
      <xdr:spPr>
        <a:xfrm>
          <a:off x="687917" y="14763750"/>
          <a:ext cx="10631384" cy="7459116"/>
        </a:xfrm>
        <a:prstGeom prst="rect">
          <a:avLst/>
        </a:prstGeom>
      </xdr:spPr>
    </xdr:pic>
    <xdr:clientData/>
  </xdr:twoCellAnchor>
  <xdr:twoCellAnchor editAs="oneCell">
    <xdr:from>
      <xdr:col>13</xdr:col>
      <xdr:colOff>639536</xdr:colOff>
      <xdr:row>104</xdr:row>
      <xdr:rowOff>27214</xdr:rowOff>
    </xdr:from>
    <xdr:to>
      <xdr:col>20</xdr:col>
      <xdr:colOff>434661</xdr:colOff>
      <xdr:row>114</xdr:row>
      <xdr:rowOff>87769</xdr:rowOff>
    </xdr:to>
    <xdr:pic>
      <xdr:nvPicPr>
        <xdr:cNvPr id="4" name="Immagine 3">
          <a:extLst>
            <a:ext uri="{FF2B5EF4-FFF2-40B4-BE49-F238E27FC236}">
              <a16:creationId xmlns:a16="http://schemas.microsoft.com/office/drawing/2014/main" id="{9E8C6CC0-7234-F540-936F-CCFF80A503AC}"/>
            </a:ext>
          </a:extLst>
        </xdr:cNvPr>
        <xdr:cNvPicPr>
          <a:picLocks noChangeAspect="1"/>
        </xdr:cNvPicPr>
      </xdr:nvPicPr>
      <xdr:blipFill>
        <a:blip xmlns:r="http://schemas.openxmlformats.org/officeDocument/2006/relationships" r:embed="rId9"/>
        <a:stretch>
          <a:fillRect/>
        </a:stretch>
      </xdr:blipFill>
      <xdr:spPr>
        <a:xfrm>
          <a:off x="15430500" y="17008928"/>
          <a:ext cx="5306018" cy="1693412"/>
        </a:xfrm>
        <a:prstGeom prst="rect">
          <a:avLst/>
        </a:prstGeom>
      </xdr:spPr>
    </xdr:pic>
    <xdr:clientData/>
  </xdr:twoCellAnchor>
  <xdr:twoCellAnchor editAs="oneCell">
    <xdr:from>
      <xdr:col>27</xdr:col>
      <xdr:colOff>128469</xdr:colOff>
      <xdr:row>153</xdr:row>
      <xdr:rowOff>37289</xdr:rowOff>
    </xdr:from>
    <xdr:to>
      <xdr:col>32</xdr:col>
      <xdr:colOff>520574</xdr:colOff>
      <xdr:row>157</xdr:row>
      <xdr:rowOff>122773</xdr:rowOff>
    </xdr:to>
    <xdr:pic>
      <xdr:nvPicPr>
        <xdr:cNvPr id="8" name="Immagine 7">
          <a:extLst>
            <a:ext uri="{FF2B5EF4-FFF2-40B4-BE49-F238E27FC236}">
              <a16:creationId xmlns:a16="http://schemas.microsoft.com/office/drawing/2014/main" id="{B51678A1-3C8B-4BC2-80FF-4BD4CA0E2192}"/>
            </a:ext>
          </a:extLst>
        </xdr:cNvPr>
        <xdr:cNvPicPr>
          <a:picLocks noChangeAspect="1"/>
        </xdr:cNvPicPr>
      </xdr:nvPicPr>
      <xdr:blipFill>
        <a:blip xmlns:r="http://schemas.openxmlformats.org/officeDocument/2006/relationships" r:embed="rId10"/>
        <a:stretch>
          <a:fillRect/>
        </a:stretch>
      </xdr:blipFill>
      <xdr:spPr>
        <a:xfrm>
          <a:off x="25192826" y="25020003"/>
          <a:ext cx="3793891" cy="738627"/>
        </a:xfrm>
        <a:prstGeom prst="rect">
          <a:avLst/>
        </a:prstGeom>
        <a:ln>
          <a:solidFill>
            <a:schemeClr val="tx1">
              <a:lumMod val="65000"/>
              <a:lumOff val="35000"/>
            </a:schemeClr>
          </a:solidFill>
        </a:ln>
      </xdr:spPr>
    </xdr:pic>
    <xdr:clientData/>
  </xdr:twoCellAnchor>
  <xdr:twoCellAnchor editAs="oneCell">
    <xdr:from>
      <xdr:col>21</xdr:col>
      <xdr:colOff>0</xdr:colOff>
      <xdr:row>98</xdr:row>
      <xdr:rowOff>0</xdr:rowOff>
    </xdr:from>
    <xdr:to>
      <xdr:col>35</xdr:col>
      <xdr:colOff>15408</xdr:colOff>
      <xdr:row>146</xdr:row>
      <xdr:rowOff>90489</xdr:rowOff>
    </xdr:to>
    <xdr:pic>
      <xdr:nvPicPr>
        <xdr:cNvPr id="12" name="Picture 11">
          <a:extLst>
            <a:ext uri="{FF2B5EF4-FFF2-40B4-BE49-F238E27FC236}">
              <a16:creationId xmlns:a16="http://schemas.microsoft.com/office/drawing/2014/main" id="{8C2C1591-F554-4FF8-83C9-B3B6C42F4842}"/>
            </a:ext>
          </a:extLst>
        </xdr:cNvPr>
        <xdr:cNvPicPr>
          <a:picLocks noChangeAspect="1"/>
        </xdr:cNvPicPr>
      </xdr:nvPicPr>
      <xdr:blipFill>
        <a:blip xmlns:r="http://schemas.openxmlformats.org/officeDocument/2006/relationships" r:embed="rId11"/>
        <a:stretch>
          <a:fillRect/>
        </a:stretch>
      </xdr:blipFill>
      <xdr:spPr>
        <a:xfrm>
          <a:off x="20982214" y="16002000"/>
          <a:ext cx="9540408" cy="7928203"/>
        </a:xfrm>
        <a:prstGeom prst="rect">
          <a:avLst/>
        </a:prstGeom>
      </xdr:spPr>
    </xdr:pic>
    <xdr:clientData/>
  </xdr:twoCellAnchor>
  <xdr:twoCellAnchor editAs="oneCell">
    <xdr:from>
      <xdr:col>20</xdr:col>
      <xdr:colOff>476351</xdr:colOff>
      <xdr:row>71</xdr:row>
      <xdr:rowOff>13305</xdr:rowOff>
    </xdr:from>
    <xdr:to>
      <xdr:col>34</xdr:col>
      <xdr:colOff>202508</xdr:colOff>
      <xdr:row>94</xdr:row>
      <xdr:rowOff>108080</xdr:rowOff>
    </xdr:to>
    <xdr:pic>
      <xdr:nvPicPr>
        <xdr:cNvPr id="13" name="Picture 14">
          <a:extLst>
            <a:ext uri="{FF2B5EF4-FFF2-40B4-BE49-F238E27FC236}">
              <a16:creationId xmlns:a16="http://schemas.microsoft.com/office/drawing/2014/main" id="{BB2A7810-CDFB-49C0-8623-38661A996BBA}"/>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0778208" y="11606591"/>
          <a:ext cx="9251157" cy="3850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585108</xdr:colOff>
      <xdr:row>101</xdr:row>
      <xdr:rowOff>122465</xdr:rowOff>
    </xdr:from>
    <xdr:to>
      <xdr:col>42</xdr:col>
      <xdr:colOff>557893</xdr:colOff>
      <xdr:row>112</xdr:row>
      <xdr:rowOff>38095</xdr:rowOff>
    </xdr:to>
    <xdr:pic>
      <xdr:nvPicPr>
        <xdr:cNvPr id="14" name="Immagine 13">
          <a:extLst>
            <a:ext uri="{FF2B5EF4-FFF2-40B4-BE49-F238E27FC236}">
              <a16:creationId xmlns:a16="http://schemas.microsoft.com/office/drawing/2014/main" id="{5C6A00D9-7944-48B1-A3C3-633E553E4D29}"/>
            </a:ext>
          </a:extLst>
        </xdr:cNvPr>
        <xdr:cNvPicPr>
          <a:picLocks noChangeAspect="1"/>
        </xdr:cNvPicPr>
      </xdr:nvPicPr>
      <xdr:blipFill>
        <a:blip xmlns:r="http://schemas.openxmlformats.org/officeDocument/2006/relationships" r:embed="rId13"/>
        <a:stretch>
          <a:fillRect/>
        </a:stretch>
      </xdr:blipFill>
      <xdr:spPr>
        <a:xfrm>
          <a:off x="31092322" y="16614322"/>
          <a:ext cx="4735285" cy="1711773"/>
        </a:xfrm>
        <a:prstGeom prst="rect">
          <a:avLst/>
        </a:prstGeom>
      </xdr:spPr>
    </xdr:pic>
    <xdr:clientData/>
  </xdr:twoCellAnchor>
  <xdr:twoCellAnchor editAs="oneCell">
    <xdr:from>
      <xdr:col>20</xdr:col>
      <xdr:colOff>0</xdr:colOff>
      <xdr:row>41</xdr:row>
      <xdr:rowOff>0</xdr:rowOff>
    </xdr:from>
    <xdr:to>
      <xdr:col>28</xdr:col>
      <xdr:colOff>44222</xdr:colOff>
      <xdr:row>52</xdr:row>
      <xdr:rowOff>146097</xdr:rowOff>
    </xdr:to>
    <xdr:pic>
      <xdr:nvPicPr>
        <xdr:cNvPr id="15" name="Picture 5">
          <a:extLst>
            <a:ext uri="{FF2B5EF4-FFF2-40B4-BE49-F238E27FC236}">
              <a16:creationId xmlns:a16="http://schemas.microsoft.com/office/drawing/2014/main" id="{96ABBB4E-FCC0-4BE7-8CFF-136F6B075D5F}"/>
            </a:ext>
          </a:extLst>
        </xdr:cNvPr>
        <xdr:cNvPicPr>
          <a:picLocks noChangeAspect="1"/>
        </xdr:cNvPicPr>
      </xdr:nvPicPr>
      <xdr:blipFill>
        <a:blip xmlns:r="http://schemas.openxmlformats.org/officeDocument/2006/relationships" r:embed="rId14"/>
        <a:stretch>
          <a:fillRect/>
        </a:stretch>
      </xdr:blipFill>
      <xdr:spPr>
        <a:xfrm>
          <a:off x="20301857" y="6694714"/>
          <a:ext cx="5487079" cy="1942240"/>
        </a:xfrm>
        <a:prstGeom prst="rect">
          <a:avLst/>
        </a:prstGeom>
      </xdr:spPr>
    </xdr:pic>
    <xdr:clientData/>
  </xdr:twoCellAnchor>
  <xdr:twoCellAnchor editAs="oneCell">
    <xdr:from>
      <xdr:col>9</xdr:col>
      <xdr:colOff>1251857</xdr:colOff>
      <xdr:row>116</xdr:row>
      <xdr:rowOff>131976</xdr:rowOff>
    </xdr:from>
    <xdr:to>
      <xdr:col>19</xdr:col>
      <xdr:colOff>13607</xdr:colOff>
      <xdr:row>183</xdr:row>
      <xdr:rowOff>62380</xdr:rowOff>
    </xdr:to>
    <xdr:pic>
      <xdr:nvPicPr>
        <xdr:cNvPr id="16" name="Immagine 15">
          <a:extLst>
            <a:ext uri="{FF2B5EF4-FFF2-40B4-BE49-F238E27FC236}">
              <a16:creationId xmlns:a16="http://schemas.microsoft.com/office/drawing/2014/main" id="{BE49986B-C1BB-12AB-E38F-3B25379A4065}"/>
            </a:ext>
          </a:extLst>
        </xdr:cNvPr>
        <xdr:cNvPicPr>
          <a:picLocks noChangeAspect="1"/>
        </xdr:cNvPicPr>
      </xdr:nvPicPr>
      <xdr:blipFill>
        <a:blip xmlns:r="http://schemas.openxmlformats.org/officeDocument/2006/relationships" r:embed="rId15"/>
        <a:stretch>
          <a:fillRect/>
        </a:stretch>
      </xdr:blipFill>
      <xdr:spPr>
        <a:xfrm>
          <a:off x="11742964" y="19073119"/>
          <a:ext cx="7892143" cy="10870547"/>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74A4D-15EA-46DF-9C83-8ED20116FB0A}">
  <sheetPr codeName="Foglio1">
    <pageSetUpPr fitToPage="1"/>
  </sheetPr>
  <dimension ref="A1:BJ434"/>
  <sheetViews>
    <sheetView showZeros="0" tabSelected="1" topLeftCell="I1" zoomScale="90" zoomScaleNormal="90" workbookViewId="0">
      <selection activeCell="L101" sqref="L101:N101"/>
    </sheetView>
  </sheetViews>
  <sheetFormatPr defaultColWidth="0" defaultRowHeight="12.75" zeroHeight="1" x14ac:dyDescent="0.2"/>
  <cols>
    <col min="1" max="1" width="33.625" hidden="1" customWidth="1"/>
    <col min="2" max="3" width="8.625" hidden="1" customWidth="1"/>
    <col min="4" max="4" width="17.125" hidden="1" customWidth="1"/>
    <col min="5" max="5" width="21.625" hidden="1" customWidth="1"/>
    <col min="6" max="6" width="20.375" hidden="1" customWidth="1"/>
    <col min="7" max="7" width="19.75" hidden="1" customWidth="1"/>
    <col min="8" max="8" width="29" hidden="1" customWidth="1"/>
    <col min="9" max="9" width="7.625" style="38" customWidth="1"/>
    <col min="10" max="10" width="30.75" style="38" customWidth="1"/>
    <col min="11" max="11" width="14.375" style="38" customWidth="1"/>
    <col min="12" max="12" width="14.5" style="38" customWidth="1"/>
    <col min="13" max="13" width="13.375" style="38" customWidth="1"/>
    <col min="14" max="14" width="14.25" style="38" customWidth="1"/>
    <col min="15" max="15" width="14.75" style="38" customWidth="1"/>
    <col min="16" max="16" width="13.625" style="38" customWidth="1"/>
    <col min="17" max="17" width="12.5" style="38" customWidth="1"/>
    <col min="18" max="18" width="14.125" style="38" customWidth="1"/>
    <col min="19" max="19" width="11.625" style="38" customWidth="1"/>
    <col min="20" max="20" width="9" style="38" customWidth="1"/>
    <col min="21" max="21" width="17.125" style="38" customWidth="1"/>
    <col min="22" max="22" width="5.25" style="38" customWidth="1"/>
    <col min="23" max="23" width="19.75" hidden="1" customWidth="1"/>
    <col min="24" max="24" width="16.875" hidden="1" customWidth="1"/>
    <col min="25" max="25" width="24.5" hidden="1" customWidth="1"/>
    <col min="26" max="26" width="20.5" hidden="1" customWidth="1"/>
    <col min="27" max="27" width="30.125" hidden="1" customWidth="1"/>
    <col min="28" max="28" width="12.125" hidden="1" customWidth="1"/>
    <col min="29" max="30" width="9" hidden="1" customWidth="1"/>
    <col min="31" max="31" width="11.625" hidden="1" customWidth="1"/>
    <col min="32" max="32" width="10.25" hidden="1" customWidth="1"/>
    <col min="33" max="33" width="11.25" hidden="1" customWidth="1"/>
    <col min="34" max="34" width="10.25" hidden="1" customWidth="1"/>
    <col min="35" max="35" width="7.125" hidden="1" customWidth="1"/>
    <col min="36" max="39" width="10.25" hidden="1" customWidth="1"/>
    <col min="40" max="40" width="16" hidden="1" customWidth="1"/>
    <col min="41" max="41" width="24.125" hidden="1" customWidth="1"/>
    <col min="42" max="42" width="29.125" hidden="1" customWidth="1"/>
    <col min="43" max="43" width="25" hidden="1" customWidth="1"/>
    <col min="44" max="44" width="36.375" hidden="1" customWidth="1"/>
    <col min="45" max="45" width="24.5" hidden="1" customWidth="1"/>
    <col min="46" max="46" width="10.625" hidden="1" customWidth="1"/>
    <col min="47" max="51" width="9" hidden="1" customWidth="1"/>
    <col min="52" max="52" width="10.125" hidden="1" customWidth="1"/>
    <col min="53" max="53" width="10.5" hidden="1" customWidth="1"/>
    <col min="54" max="54" width="11.125" hidden="1" customWidth="1"/>
    <col min="55" max="55" width="13.375" hidden="1" customWidth="1"/>
    <col min="56" max="58" width="11.125" hidden="1" customWidth="1"/>
    <col min="59" max="59" width="11.25" hidden="1" customWidth="1"/>
    <col min="60" max="62" width="0" hidden="1" customWidth="1"/>
    <col min="63" max="16384" width="9" hidden="1"/>
  </cols>
  <sheetData>
    <row r="1" spans="1:62" ht="16.5" customHeight="1" x14ac:dyDescent="0.2">
      <c r="I1" s="33"/>
      <c r="J1" s="34"/>
      <c r="K1" s="34"/>
      <c r="L1" s="34"/>
      <c r="M1" s="34"/>
      <c r="N1" s="34"/>
      <c r="O1" s="34"/>
      <c r="P1" s="34"/>
      <c r="Q1" s="33"/>
      <c r="R1" s="33"/>
      <c r="S1" s="33"/>
      <c r="T1" s="33"/>
      <c r="U1" s="33"/>
      <c r="V1" s="33"/>
    </row>
    <row r="2" spans="1:62" ht="18" x14ac:dyDescent="0.25">
      <c r="A2" s="432" t="s">
        <v>161</v>
      </c>
      <c r="B2" s="432"/>
      <c r="C2" s="432"/>
      <c r="D2" s="432"/>
      <c r="E2" s="432"/>
      <c r="F2" s="432"/>
      <c r="G2" s="432"/>
      <c r="H2" s="432"/>
      <c r="I2" s="33"/>
      <c r="J2" s="35"/>
      <c r="K2" s="35"/>
      <c r="L2" s="35"/>
      <c r="M2" s="35"/>
      <c r="N2" s="35"/>
      <c r="O2" s="35"/>
      <c r="P2" s="35"/>
      <c r="Q2" s="36"/>
      <c r="R2" s="35"/>
      <c r="S2" s="35"/>
      <c r="T2" s="35"/>
      <c r="U2" s="35"/>
      <c r="V2" s="33"/>
      <c r="W2" s="432" t="s">
        <v>161</v>
      </c>
      <c r="X2" s="432"/>
      <c r="Y2" s="432"/>
      <c r="Z2" s="432"/>
      <c r="AA2" s="432"/>
      <c r="AB2" s="432"/>
      <c r="AC2" s="432"/>
      <c r="AD2" s="432"/>
      <c r="AE2" s="432"/>
      <c r="AF2" s="432"/>
      <c r="AG2" s="432"/>
      <c r="AH2" s="432"/>
      <c r="AI2" s="432"/>
      <c r="AJ2" s="432"/>
      <c r="AK2" s="432"/>
      <c r="AL2" s="432"/>
      <c r="AM2" s="432"/>
      <c r="AN2" s="432"/>
      <c r="AO2" s="432"/>
      <c r="AP2" s="432"/>
      <c r="AQ2" s="432"/>
    </row>
    <row r="3" spans="1:62" x14ac:dyDescent="0.2">
      <c r="I3" s="33"/>
      <c r="J3" s="35"/>
      <c r="K3" s="35"/>
      <c r="L3" s="35"/>
      <c r="M3" s="35"/>
      <c r="N3" s="35"/>
      <c r="O3" s="35"/>
      <c r="P3" s="35"/>
      <c r="Q3" s="36"/>
      <c r="R3" s="35"/>
      <c r="S3" s="35"/>
      <c r="T3" s="35"/>
      <c r="U3" s="35"/>
      <c r="V3" s="33"/>
    </row>
    <row r="4" spans="1:62" x14ac:dyDescent="0.2">
      <c r="I4" s="33"/>
      <c r="J4" s="35"/>
      <c r="K4" s="35"/>
      <c r="L4" s="35"/>
      <c r="M4" s="35"/>
      <c r="N4" s="35"/>
      <c r="O4" s="35"/>
      <c r="P4" s="35"/>
      <c r="Q4" s="36"/>
      <c r="R4" s="35"/>
      <c r="S4" s="35"/>
      <c r="T4" s="35"/>
      <c r="U4" s="35"/>
      <c r="V4" s="33"/>
    </row>
    <row r="5" spans="1:62" x14ac:dyDescent="0.2">
      <c r="I5" s="33"/>
      <c r="J5" s="35"/>
      <c r="K5" s="35"/>
      <c r="L5" s="35"/>
      <c r="M5" s="35"/>
      <c r="N5" s="36"/>
      <c r="O5" s="36"/>
      <c r="P5" s="35"/>
      <c r="Q5" s="36"/>
      <c r="R5" s="375" t="s">
        <v>459</v>
      </c>
      <c r="S5" s="36"/>
      <c r="T5" s="36"/>
      <c r="U5" s="35"/>
      <c r="V5" s="33"/>
      <c r="W5" s="14" t="s">
        <v>9</v>
      </c>
      <c r="X5" s="15"/>
    </row>
    <row r="6" spans="1:62" x14ac:dyDescent="0.2">
      <c r="I6" s="33"/>
      <c r="J6" s="37"/>
      <c r="K6" s="37"/>
      <c r="L6" s="37"/>
      <c r="M6" s="37"/>
      <c r="N6" s="37"/>
      <c r="O6" s="37"/>
      <c r="P6" s="37"/>
      <c r="Q6" s="37"/>
      <c r="R6" s="37"/>
      <c r="S6" s="37"/>
      <c r="T6" s="37"/>
      <c r="U6" s="37"/>
      <c r="V6" s="33"/>
      <c r="W6" s="4" t="s">
        <v>10</v>
      </c>
      <c r="X6" s="5" t="s">
        <v>11</v>
      </c>
    </row>
    <row r="7" spans="1:62" ht="18" x14ac:dyDescent="0.25">
      <c r="I7" s="33"/>
      <c r="J7" s="37"/>
      <c r="K7" s="37"/>
      <c r="L7" s="37"/>
      <c r="M7" s="37"/>
      <c r="N7" s="234" t="s">
        <v>460</v>
      </c>
      <c r="O7" s="37"/>
      <c r="P7" s="37"/>
      <c r="Q7" s="37"/>
      <c r="R7" s="37"/>
      <c r="S7" s="37"/>
      <c r="T7" s="37"/>
      <c r="U7" s="37"/>
      <c r="V7" s="33"/>
      <c r="W7" s="6">
        <v>120</v>
      </c>
      <c r="X7" s="7">
        <f t="shared" ref="X7" si="0">W7/25.4</f>
        <v>4.7244094488188981</v>
      </c>
      <c r="AA7" s="24" t="s">
        <v>399</v>
      </c>
    </row>
    <row r="8" spans="1:62" ht="14.25" x14ac:dyDescent="0.2">
      <c r="I8" s="33"/>
      <c r="J8" s="37"/>
      <c r="K8" s="37"/>
      <c r="L8" s="37"/>
      <c r="M8" s="391"/>
      <c r="N8" s="392" t="s">
        <v>461</v>
      </c>
      <c r="O8" s="37"/>
      <c r="P8" s="37"/>
      <c r="Q8" s="37"/>
      <c r="R8" s="37"/>
      <c r="S8" s="37"/>
      <c r="T8" s="37"/>
      <c r="U8" s="37"/>
      <c r="V8" s="33"/>
      <c r="W8" s="8"/>
      <c r="X8" s="9"/>
      <c r="AA8" s="24" t="s">
        <v>401</v>
      </c>
    </row>
    <row r="9" spans="1:62" x14ac:dyDescent="0.2">
      <c r="I9" s="33"/>
      <c r="J9" s="37"/>
      <c r="K9" s="37"/>
      <c r="L9" s="37"/>
      <c r="M9" s="37"/>
      <c r="N9" s="37"/>
      <c r="O9" s="37"/>
      <c r="P9" s="37"/>
      <c r="Q9" s="37"/>
      <c r="R9" s="37"/>
      <c r="S9" s="37"/>
      <c r="T9" s="37"/>
      <c r="U9" s="37"/>
      <c r="V9" s="33"/>
      <c r="W9" s="10" t="s">
        <v>11</v>
      </c>
      <c r="X9" s="11" t="s">
        <v>10</v>
      </c>
      <c r="AA9" s="24" t="s">
        <v>402</v>
      </c>
    </row>
    <row r="10" spans="1:62" ht="14.25" x14ac:dyDescent="0.2">
      <c r="I10" s="33"/>
      <c r="J10" s="96" t="s">
        <v>1</v>
      </c>
      <c r="K10" s="96"/>
      <c r="L10" s="248" t="s">
        <v>2</v>
      </c>
      <c r="M10" s="96"/>
      <c r="N10" s="96"/>
      <c r="O10" s="96"/>
      <c r="P10" s="96"/>
      <c r="Q10" s="96"/>
      <c r="R10" s="96"/>
      <c r="S10" s="96"/>
      <c r="T10" s="96"/>
      <c r="U10" s="96"/>
      <c r="V10" s="33"/>
      <c r="W10" s="12">
        <v>1.5</v>
      </c>
      <c r="X10" s="13">
        <f>W10*25.4</f>
        <v>38.099999999999994</v>
      </c>
    </row>
    <row r="11" spans="1:62" ht="14.25" x14ac:dyDescent="0.2">
      <c r="I11" s="33"/>
      <c r="J11" s="96" t="s">
        <v>3</v>
      </c>
      <c r="K11" s="249"/>
      <c r="L11" s="390"/>
      <c r="M11" s="96"/>
      <c r="N11" s="96"/>
      <c r="O11" s="96"/>
      <c r="P11" s="96"/>
      <c r="Q11" s="96"/>
      <c r="R11" s="96"/>
      <c r="S11" s="96"/>
      <c r="T11" s="96"/>
      <c r="U11" s="96"/>
      <c r="V11" s="33"/>
      <c r="AQ11" s="95" t="s">
        <v>214</v>
      </c>
    </row>
    <row r="12" spans="1:62" ht="14.25" x14ac:dyDescent="0.2">
      <c r="I12" s="33"/>
      <c r="J12" s="96" t="s">
        <v>4</v>
      </c>
      <c r="K12" s="250"/>
      <c r="L12" s="390"/>
      <c r="M12" s="96"/>
      <c r="N12" s="96"/>
      <c r="O12" s="96"/>
      <c r="P12" s="96"/>
      <c r="Q12" s="96"/>
      <c r="R12" s="96"/>
      <c r="S12" s="96"/>
      <c r="T12" s="96"/>
      <c r="U12" s="96"/>
      <c r="V12" s="33"/>
    </row>
    <row r="13" spans="1:62" ht="15" thickBot="1" x14ac:dyDescent="0.25">
      <c r="I13" s="33"/>
      <c r="J13" s="96" t="s">
        <v>5</v>
      </c>
      <c r="K13" s="250"/>
      <c r="L13" s="390"/>
      <c r="M13" s="96"/>
      <c r="N13" s="96"/>
      <c r="O13" s="96"/>
      <c r="P13" s="96"/>
      <c r="Q13" s="96"/>
      <c r="R13" s="96"/>
      <c r="S13" s="96"/>
      <c r="T13" s="96"/>
      <c r="U13" s="96"/>
      <c r="V13" s="33"/>
      <c r="AA13" s="95" t="s">
        <v>215</v>
      </c>
      <c r="AB13" s="95"/>
      <c r="AC13" s="95"/>
      <c r="AI13" s="430" t="s">
        <v>204</v>
      </c>
      <c r="AJ13" s="431"/>
      <c r="AK13" s="410" t="s">
        <v>205</v>
      </c>
      <c r="AL13" s="410"/>
      <c r="AM13" s="410"/>
      <c r="AN13" s="410"/>
      <c r="AO13" s="2"/>
    </row>
    <row r="14" spans="1:62" ht="38.25" x14ac:dyDescent="0.2">
      <c r="I14" s="33"/>
      <c r="J14" s="96"/>
      <c r="K14" s="96"/>
      <c r="L14" s="96"/>
      <c r="M14" s="96"/>
      <c r="N14" s="96"/>
      <c r="O14" s="96"/>
      <c r="P14" s="96"/>
      <c r="Q14" s="96"/>
      <c r="R14" s="96"/>
      <c r="S14" s="96"/>
      <c r="T14" s="96"/>
      <c r="U14" s="96"/>
      <c r="V14" s="33"/>
      <c r="AI14" s="410" t="s">
        <v>202</v>
      </c>
      <c r="AJ14" s="410"/>
      <c r="AK14" s="410" t="s">
        <v>201</v>
      </c>
      <c r="AL14" s="410"/>
      <c r="AM14" s="410" t="s">
        <v>202</v>
      </c>
      <c r="AN14" s="410"/>
      <c r="AO14" s="21" t="s">
        <v>261</v>
      </c>
      <c r="AP14" s="2"/>
      <c r="AQ14" s="424" t="s">
        <v>198</v>
      </c>
      <c r="AR14" s="425"/>
      <c r="AS14" s="426"/>
      <c r="AT14" s="52" t="s">
        <v>199</v>
      </c>
      <c r="AU14" s="53"/>
      <c r="AV14" s="52" t="s">
        <v>162</v>
      </c>
      <c r="AW14" s="54" t="s">
        <v>200</v>
      </c>
      <c r="AX14" s="54" t="s">
        <v>21</v>
      </c>
      <c r="AY14" s="82" t="s">
        <v>192</v>
      </c>
      <c r="AZ14" s="83" t="s">
        <v>194</v>
      </c>
      <c r="BA14" s="83" t="s">
        <v>196</v>
      </c>
      <c r="BB14" s="198" t="s">
        <v>242</v>
      </c>
      <c r="BC14" s="404" t="s">
        <v>342</v>
      </c>
      <c r="BD14" s="404"/>
      <c r="BE14" s="404"/>
      <c r="BF14" s="405"/>
      <c r="BG14" s="194"/>
      <c r="BH14" s="194"/>
      <c r="BI14" s="194"/>
      <c r="BJ14" s="194"/>
    </row>
    <row r="15" spans="1:62" ht="15" thickBot="1" x14ac:dyDescent="0.25">
      <c r="I15" s="33"/>
      <c r="J15" s="96"/>
      <c r="K15" s="96"/>
      <c r="L15" s="96"/>
      <c r="M15" s="96"/>
      <c r="N15" s="96"/>
      <c r="O15" s="96"/>
      <c r="P15" s="96"/>
      <c r="Q15" s="96"/>
      <c r="R15" s="96"/>
      <c r="S15" s="96"/>
      <c r="T15" s="96"/>
      <c r="U15" s="96"/>
      <c r="V15" s="33"/>
      <c r="AA15" s="24"/>
      <c r="AB15" s="235" t="s">
        <v>272</v>
      </c>
      <c r="AC15" s="235" t="s">
        <v>273</v>
      </c>
      <c r="AD15" s="21" t="s">
        <v>271</v>
      </c>
      <c r="AE15" s="21" t="s">
        <v>7</v>
      </c>
      <c r="AF15" s="24" t="s">
        <v>8</v>
      </c>
      <c r="AG15" s="21" t="s">
        <v>282</v>
      </c>
      <c r="AH15" s="21" t="s">
        <v>141</v>
      </c>
      <c r="AI15" s="94" t="s">
        <v>203</v>
      </c>
      <c r="AJ15" s="94" t="s">
        <v>72</v>
      </c>
      <c r="AK15" s="94" t="s">
        <v>203</v>
      </c>
      <c r="AL15" s="94" t="s">
        <v>72</v>
      </c>
      <c r="AM15" s="94" t="s">
        <v>203</v>
      </c>
      <c r="AN15" s="94" t="s">
        <v>72</v>
      </c>
      <c r="AO15" s="94"/>
      <c r="AP15" s="230"/>
      <c r="AQ15" s="427"/>
      <c r="AR15" s="428"/>
      <c r="AS15" s="429"/>
      <c r="AT15" s="55" t="s">
        <v>163</v>
      </c>
      <c r="AU15" s="56"/>
      <c r="AV15" s="57" t="s">
        <v>163</v>
      </c>
      <c r="AW15" s="58" t="s">
        <v>163</v>
      </c>
      <c r="AX15" s="58" t="s">
        <v>193</v>
      </c>
      <c r="AY15" s="58" t="s">
        <v>163</v>
      </c>
      <c r="AZ15" s="58" t="s">
        <v>195</v>
      </c>
      <c r="BA15" s="58"/>
      <c r="BB15" s="199"/>
      <c r="BC15" s="207">
        <v>0.35</v>
      </c>
      <c r="BD15" s="207">
        <v>0.42</v>
      </c>
      <c r="BE15" s="207">
        <v>0.49</v>
      </c>
      <c r="BF15" s="208">
        <v>0.55000000000000004</v>
      </c>
      <c r="BG15" s="208"/>
      <c r="BH15" s="194"/>
      <c r="BI15" s="194"/>
      <c r="BJ15" s="194"/>
    </row>
    <row r="16" spans="1:62" ht="14.25" x14ac:dyDescent="0.2">
      <c r="A16" s="30" t="s">
        <v>59</v>
      </c>
      <c r="B16" s="31" t="s">
        <v>60</v>
      </c>
      <c r="D16" s="1" t="s">
        <v>283</v>
      </c>
      <c r="I16" s="33"/>
      <c r="J16" s="96"/>
      <c r="K16" s="96"/>
      <c r="L16" s="96"/>
      <c r="M16" s="96"/>
      <c r="N16" s="96"/>
      <c r="O16" s="96"/>
      <c r="P16" s="96"/>
      <c r="Q16" s="96"/>
      <c r="R16" s="96"/>
      <c r="S16" s="96"/>
      <c r="T16" s="96"/>
      <c r="U16" s="96"/>
      <c r="V16" s="33"/>
      <c r="Z16" s="24" t="s">
        <v>0</v>
      </c>
      <c r="AA16" s="24" t="str">
        <f>CONCATENATE(LEFT(Z16,4)," T ", RIGHT(LEFT(Z16,7),2),"x",RIGHT(LEFT(Z16,9),2))</f>
        <v>LOCK T 18x80</v>
      </c>
      <c r="AB16" s="235">
        <v>17.5</v>
      </c>
      <c r="AC16" s="235">
        <v>80</v>
      </c>
      <c r="AD16" s="21">
        <v>4</v>
      </c>
      <c r="AE16" s="21">
        <v>5</v>
      </c>
      <c r="AF16" s="42" t="s">
        <v>438</v>
      </c>
      <c r="AG16" s="21">
        <v>1</v>
      </c>
      <c r="AH16" s="21">
        <v>2.19</v>
      </c>
      <c r="AI16" s="24"/>
      <c r="AJ16" s="175">
        <v>95</v>
      </c>
      <c r="AK16" s="175">
        <v>35</v>
      </c>
      <c r="AL16" s="175">
        <v>80</v>
      </c>
      <c r="AM16" s="175">
        <v>43</v>
      </c>
      <c r="AN16" s="175">
        <v>80</v>
      </c>
      <c r="AO16" s="175">
        <v>20</v>
      </c>
      <c r="AP16" s="231" t="s">
        <v>395</v>
      </c>
      <c r="AQ16" s="74"/>
      <c r="AR16" s="75"/>
      <c r="AS16" s="76"/>
      <c r="AT16" s="77"/>
      <c r="AU16" s="77"/>
      <c r="AV16" s="77"/>
      <c r="AW16" s="78"/>
      <c r="AX16" s="78"/>
      <c r="AY16" s="209"/>
      <c r="AZ16" s="86"/>
      <c r="BA16" s="86"/>
      <c r="BB16" s="202"/>
      <c r="BC16" s="210"/>
      <c r="BD16" s="210"/>
      <c r="BE16" s="210"/>
      <c r="BF16" s="211"/>
      <c r="BG16" s="211"/>
      <c r="BH16" s="195"/>
      <c r="BI16" s="195"/>
      <c r="BJ16" s="195"/>
    </row>
    <row r="17" spans="1:62" ht="14.25" x14ac:dyDescent="0.2">
      <c r="A17" s="25" t="s">
        <v>61</v>
      </c>
      <c r="B17" s="169">
        <v>0.47</v>
      </c>
      <c r="D17" t="s">
        <v>306</v>
      </c>
      <c r="F17" s="2" t="str">
        <f>L153</f>
        <v>LBS Ø 7 x 60</v>
      </c>
      <c r="I17" s="33"/>
      <c r="J17" s="96"/>
      <c r="K17" s="96"/>
      <c r="L17" s="96"/>
      <c r="M17" s="96"/>
      <c r="N17" s="96"/>
      <c r="O17" s="96"/>
      <c r="P17" s="96"/>
      <c r="Q17" s="96"/>
      <c r="R17" s="96"/>
      <c r="S17" s="96"/>
      <c r="T17" s="96"/>
      <c r="U17" s="96"/>
      <c r="V17" s="33"/>
      <c r="Z17" s="24" t="s">
        <v>12</v>
      </c>
      <c r="AA17" s="24" t="str">
        <f>CONCATENATE(LEFT(Z17,4)," T ", RIGHT(LEFT(Z17,7),2),"x",RIGHT(LEFT(Z17,9),2))</f>
        <v>LOCK T 35x80</v>
      </c>
      <c r="AB17" s="235">
        <v>35</v>
      </c>
      <c r="AC17" s="235">
        <v>80</v>
      </c>
      <c r="AD17" s="21">
        <v>8</v>
      </c>
      <c r="AE17" s="21">
        <v>5</v>
      </c>
      <c r="AF17" s="42" t="s">
        <v>438</v>
      </c>
      <c r="AG17" s="21">
        <v>2</v>
      </c>
      <c r="AH17" s="21">
        <v>2.19</v>
      </c>
      <c r="AI17" s="24"/>
      <c r="AJ17" s="175">
        <v>95</v>
      </c>
      <c r="AK17" s="175">
        <v>53</v>
      </c>
      <c r="AL17" s="175">
        <v>80</v>
      </c>
      <c r="AM17" s="175">
        <v>61</v>
      </c>
      <c r="AN17" s="175">
        <v>80</v>
      </c>
      <c r="AO17" s="175">
        <v>20</v>
      </c>
      <c r="AP17" s="231" t="s">
        <v>395</v>
      </c>
      <c r="AQ17" s="64" t="s">
        <v>166</v>
      </c>
      <c r="AR17" s="65" t="str">
        <f t="shared" ref="AR17:AR37" si="1">AS17&amp;" Ø "&amp;AT17&amp;" x "&amp;AV17</f>
        <v>LBS Ø 5 x 40</v>
      </c>
      <c r="AS17" s="66" t="s">
        <v>164</v>
      </c>
      <c r="AT17" s="67">
        <v>5</v>
      </c>
      <c r="AU17" s="67" t="s">
        <v>165</v>
      </c>
      <c r="AV17" s="67">
        <v>40</v>
      </c>
      <c r="AW17" s="63">
        <v>36</v>
      </c>
      <c r="AX17" s="63">
        <v>0.11799999999999999</v>
      </c>
      <c r="AY17" s="80">
        <f t="shared" ref="AY17:AY20" si="2">0.197*25.4</f>
        <v>5.0038</v>
      </c>
      <c r="AZ17" s="84">
        <v>180000</v>
      </c>
      <c r="BA17" s="84"/>
      <c r="BB17" s="200">
        <v>0.12</v>
      </c>
      <c r="BC17" s="204">
        <v>99</v>
      </c>
      <c r="BD17" s="204">
        <v>114</v>
      </c>
      <c r="BE17" s="204">
        <v>128</v>
      </c>
      <c r="BF17" s="212">
        <v>140</v>
      </c>
      <c r="BG17" s="212" t="s">
        <v>164</v>
      </c>
      <c r="BH17" s="195"/>
      <c r="BI17" s="195"/>
      <c r="BJ17" s="195"/>
    </row>
    <row r="18" spans="1:62" ht="14.25" x14ac:dyDescent="0.2">
      <c r="A18" s="25" t="s">
        <v>62</v>
      </c>
      <c r="B18" s="169">
        <v>0.36</v>
      </c>
      <c r="D18" t="s">
        <v>285</v>
      </c>
      <c r="E18" s="1"/>
      <c r="F18" s="161">
        <f>L158</f>
        <v>0.27559055118110237</v>
      </c>
      <c r="G18" t="s">
        <v>193</v>
      </c>
      <c r="I18" s="33"/>
      <c r="J18" s="96"/>
      <c r="K18" s="96"/>
      <c r="L18" s="96"/>
      <c r="M18" s="96"/>
      <c r="N18" s="96"/>
      <c r="O18" s="96"/>
      <c r="P18" s="96"/>
      <c r="Q18" s="96"/>
      <c r="R18" s="96"/>
      <c r="S18" s="96"/>
      <c r="T18" s="96"/>
      <c r="U18" s="96"/>
      <c r="V18" s="33"/>
      <c r="Z18" s="24" t="s">
        <v>13</v>
      </c>
      <c r="AA18" s="24" t="str">
        <f t="shared" ref="AA18:AA24" si="3">CONCATENATE(LEFT(Z18,4)," T ", RIGHT(LEFT(Z18,7),2),"x",RIGHT(LEFT(Z18,10),3))</f>
        <v>LOCK T 35x100</v>
      </c>
      <c r="AB18" s="235">
        <v>35</v>
      </c>
      <c r="AC18" s="235">
        <v>100</v>
      </c>
      <c r="AD18" s="21">
        <v>12</v>
      </c>
      <c r="AE18" s="21">
        <v>5</v>
      </c>
      <c r="AF18" s="42" t="s">
        <v>438</v>
      </c>
      <c r="AG18" s="21">
        <v>2</v>
      </c>
      <c r="AH18" s="21">
        <v>4.3899999999999997</v>
      </c>
      <c r="AI18" s="24"/>
      <c r="AJ18" s="175">
        <v>115</v>
      </c>
      <c r="AK18" s="175">
        <v>53</v>
      </c>
      <c r="AL18" s="175">
        <v>100</v>
      </c>
      <c r="AM18" s="175">
        <v>61</v>
      </c>
      <c r="AN18" s="175">
        <v>100</v>
      </c>
      <c r="AO18" s="175">
        <v>20</v>
      </c>
      <c r="AP18" s="231" t="s">
        <v>395</v>
      </c>
      <c r="AQ18" s="64" t="s">
        <v>167</v>
      </c>
      <c r="AR18" s="65" t="str">
        <f t="shared" si="1"/>
        <v>LBS Ø 5 x 50</v>
      </c>
      <c r="AS18" s="66" t="s">
        <v>164</v>
      </c>
      <c r="AT18" s="67">
        <v>5</v>
      </c>
      <c r="AU18" s="67" t="s">
        <v>165</v>
      </c>
      <c r="AV18" s="67">
        <v>50</v>
      </c>
      <c r="AW18" s="63">
        <v>46</v>
      </c>
      <c r="AX18" s="63">
        <v>0.11799999999999999</v>
      </c>
      <c r="AY18" s="80">
        <f t="shared" si="2"/>
        <v>5.0038</v>
      </c>
      <c r="AZ18" s="84">
        <v>180000</v>
      </c>
      <c r="BA18" s="84"/>
      <c r="BB18" s="200">
        <v>0.12</v>
      </c>
      <c r="BC18" s="204">
        <v>99</v>
      </c>
      <c r="BD18" s="204">
        <v>114</v>
      </c>
      <c r="BE18" s="204">
        <v>128</v>
      </c>
      <c r="BF18" s="212">
        <v>140</v>
      </c>
      <c r="BG18" s="212" t="s">
        <v>164</v>
      </c>
      <c r="BH18" s="195"/>
      <c r="BI18" s="195"/>
      <c r="BJ18" s="195"/>
    </row>
    <row r="19" spans="1:62" ht="14.25" x14ac:dyDescent="0.2">
      <c r="A19" s="25" t="s">
        <v>63</v>
      </c>
      <c r="B19" s="169">
        <v>0.71</v>
      </c>
      <c r="D19" t="s">
        <v>284</v>
      </c>
      <c r="E19" s="46"/>
      <c r="F19" s="162">
        <f>(VLOOKUP(L153,AR16:AX39,7,FALSE))</f>
        <v>0.17299999999999999</v>
      </c>
      <c r="G19" t="s">
        <v>193</v>
      </c>
      <c r="I19" s="33"/>
      <c r="J19" s="96"/>
      <c r="K19" s="96"/>
      <c r="L19" s="96"/>
      <c r="M19" s="96"/>
      <c r="N19" s="96"/>
      <c r="O19" s="96"/>
      <c r="P19" s="96"/>
      <c r="Q19" s="96"/>
      <c r="R19" s="96"/>
      <c r="S19" s="96"/>
      <c r="T19" s="96"/>
      <c r="U19" s="96"/>
      <c r="V19" s="33"/>
      <c r="Z19" s="24" t="s">
        <v>14</v>
      </c>
      <c r="AA19" s="24" t="str">
        <f t="shared" si="3"/>
        <v>LOCK T 35x120</v>
      </c>
      <c r="AB19" s="235">
        <v>35</v>
      </c>
      <c r="AC19" s="235">
        <v>120</v>
      </c>
      <c r="AD19" s="21">
        <v>16</v>
      </c>
      <c r="AE19" s="21">
        <v>5</v>
      </c>
      <c r="AF19" s="42" t="s">
        <v>438</v>
      </c>
      <c r="AG19" s="21">
        <v>2</v>
      </c>
      <c r="AH19" s="21">
        <v>7.36</v>
      </c>
      <c r="AI19" s="24"/>
      <c r="AJ19" s="175">
        <v>135</v>
      </c>
      <c r="AK19" s="175">
        <v>53</v>
      </c>
      <c r="AL19" s="175">
        <v>120</v>
      </c>
      <c r="AM19" s="175">
        <v>61</v>
      </c>
      <c r="AN19" s="175">
        <v>120</v>
      </c>
      <c r="AO19" s="175">
        <v>20</v>
      </c>
      <c r="AP19" s="231" t="s">
        <v>395</v>
      </c>
      <c r="AQ19" s="64" t="s">
        <v>168</v>
      </c>
      <c r="AR19" s="65" t="str">
        <f t="shared" si="1"/>
        <v>LBS Ø 5 x 60</v>
      </c>
      <c r="AS19" s="66" t="s">
        <v>164</v>
      </c>
      <c r="AT19" s="67">
        <v>5</v>
      </c>
      <c r="AU19" s="67" t="s">
        <v>165</v>
      </c>
      <c r="AV19" s="67">
        <v>60</v>
      </c>
      <c r="AW19" s="63">
        <v>56</v>
      </c>
      <c r="AX19" s="63">
        <v>0.11799999999999999</v>
      </c>
      <c r="AY19" s="80">
        <f t="shared" si="2"/>
        <v>5.0038</v>
      </c>
      <c r="AZ19" s="84">
        <v>180000</v>
      </c>
      <c r="BA19" s="84"/>
      <c r="BB19" s="200">
        <v>0.12</v>
      </c>
      <c r="BC19" s="204">
        <v>99</v>
      </c>
      <c r="BD19" s="204">
        <v>114</v>
      </c>
      <c r="BE19" s="204">
        <v>128</v>
      </c>
      <c r="BF19" s="212">
        <v>140</v>
      </c>
      <c r="BG19" s="212" t="s">
        <v>164</v>
      </c>
      <c r="BH19" s="195"/>
      <c r="BI19" s="195"/>
      <c r="BJ19" s="195"/>
    </row>
    <row r="20" spans="1:62" ht="15" thickBot="1" x14ac:dyDescent="0.25">
      <c r="A20" s="25" t="s">
        <v>64</v>
      </c>
      <c r="B20" s="169">
        <v>0.43</v>
      </c>
      <c r="D20" t="s">
        <v>286</v>
      </c>
      <c r="F20" s="164">
        <f>(VLOOKUP(L153,AR16:AZ39,9,FALSE))</f>
        <v>192000</v>
      </c>
      <c r="G20" t="s">
        <v>195</v>
      </c>
      <c r="I20" s="33"/>
      <c r="J20" s="96"/>
      <c r="K20" s="96"/>
      <c r="L20" s="96"/>
      <c r="M20" s="96"/>
      <c r="N20" s="96"/>
      <c r="O20" s="96"/>
      <c r="P20" s="96"/>
      <c r="Q20" s="96"/>
      <c r="R20" s="96"/>
      <c r="S20" s="96"/>
      <c r="T20" s="96"/>
      <c r="U20" s="96"/>
      <c r="V20" s="33"/>
      <c r="Z20" s="24" t="s">
        <v>15</v>
      </c>
      <c r="AA20" s="24" t="str">
        <f t="shared" si="3"/>
        <v>LOCK T 53x120</v>
      </c>
      <c r="AB20" s="235">
        <v>52.5</v>
      </c>
      <c r="AC20" s="235">
        <v>120</v>
      </c>
      <c r="AD20" s="21">
        <v>24</v>
      </c>
      <c r="AE20" s="21">
        <v>5</v>
      </c>
      <c r="AF20" s="42" t="s">
        <v>438</v>
      </c>
      <c r="AG20" s="21">
        <v>3</v>
      </c>
      <c r="AH20" s="21">
        <v>7.36</v>
      </c>
      <c r="AI20" s="24"/>
      <c r="AJ20" s="175">
        <v>135</v>
      </c>
      <c r="AK20" s="175">
        <v>70</v>
      </c>
      <c r="AL20" s="175">
        <v>120</v>
      </c>
      <c r="AM20" s="175">
        <v>78</v>
      </c>
      <c r="AN20" s="175">
        <v>120</v>
      </c>
      <c r="AO20" s="175">
        <v>20</v>
      </c>
      <c r="AP20" s="231" t="s">
        <v>395</v>
      </c>
      <c r="AQ20" s="69" t="s">
        <v>169</v>
      </c>
      <c r="AR20" s="70" t="str">
        <f t="shared" si="1"/>
        <v>LBS Ø 5 x 70</v>
      </c>
      <c r="AS20" s="71" t="s">
        <v>164</v>
      </c>
      <c r="AT20" s="72">
        <v>5</v>
      </c>
      <c r="AU20" s="72" t="s">
        <v>165</v>
      </c>
      <c r="AV20" s="72">
        <v>70</v>
      </c>
      <c r="AW20" s="73">
        <v>66</v>
      </c>
      <c r="AX20" s="73">
        <v>0.11799999999999999</v>
      </c>
      <c r="AY20" s="81">
        <f t="shared" si="2"/>
        <v>5.0038</v>
      </c>
      <c r="AZ20" s="85">
        <v>180000</v>
      </c>
      <c r="BA20" s="85"/>
      <c r="BB20" s="201">
        <v>0.12</v>
      </c>
      <c r="BC20" s="213">
        <v>99</v>
      </c>
      <c r="BD20" s="213">
        <v>114</v>
      </c>
      <c r="BE20" s="213">
        <v>128</v>
      </c>
      <c r="BF20" s="214">
        <v>140</v>
      </c>
      <c r="BG20" s="214" t="s">
        <v>164</v>
      </c>
      <c r="BH20" s="195"/>
      <c r="BI20" s="195"/>
      <c r="BJ20" s="195"/>
    </row>
    <row r="21" spans="1:62" ht="15" x14ac:dyDescent="0.2">
      <c r="A21" s="25" t="s">
        <v>65</v>
      </c>
      <c r="B21" s="169">
        <v>0.5</v>
      </c>
      <c r="F21" s="164">
        <f>F20/145.03773772954</f>
        <v>1323.7934002944335</v>
      </c>
      <c r="G21" t="s">
        <v>287</v>
      </c>
      <c r="I21" s="33"/>
      <c r="J21" s="96"/>
      <c r="K21" s="96"/>
      <c r="L21" s="97"/>
      <c r="M21" s="96"/>
      <c r="N21" s="96"/>
      <c r="O21" s="96"/>
      <c r="P21" s="96"/>
      <c r="Q21" s="96"/>
      <c r="R21" s="96"/>
      <c r="S21" s="96"/>
      <c r="T21" s="96"/>
      <c r="U21" s="96"/>
      <c r="V21" s="33"/>
      <c r="Z21" s="24" t="s">
        <v>16</v>
      </c>
      <c r="AA21" s="24" t="str">
        <f t="shared" si="3"/>
        <v>LOCK T 50x135</v>
      </c>
      <c r="AB21" s="235">
        <v>50</v>
      </c>
      <c r="AC21" s="235">
        <v>135</v>
      </c>
      <c r="AD21" s="21">
        <v>12</v>
      </c>
      <c r="AE21" s="21">
        <v>7</v>
      </c>
      <c r="AF21" s="42" t="s">
        <v>439</v>
      </c>
      <c r="AG21" s="21">
        <v>2</v>
      </c>
      <c r="AH21" s="21">
        <v>5.3</v>
      </c>
      <c r="AI21" s="24"/>
      <c r="AJ21" s="175">
        <v>155</v>
      </c>
      <c r="AK21" s="175">
        <v>74</v>
      </c>
      <c r="AL21" s="175">
        <v>135</v>
      </c>
      <c r="AM21" s="175">
        <v>80</v>
      </c>
      <c r="AN21" s="175">
        <v>140</v>
      </c>
      <c r="AO21" s="175">
        <v>22</v>
      </c>
      <c r="AP21" s="231" t="s">
        <v>396</v>
      </c>
      <c r="AQ21" s="74" t="s">
        <v>170</v>
      </c>
      <c r="AR21" s="75" t="str">
        <f t="shared" si="1"/>
        <v>LBS Ø 7 x 60</v>
      </c>
      <c r="AS21" s="76" t="s">
        <v>164</v>
      </c>
      <c r="AT21" s="77">
        <v>7</v>
      </c>
      <c r="AU21" s="77" t="s">
        <v>165</v>
      </c>
      <c r="AV21" s="77">
        <v>60</v>
      </c>
      <c r="AW21" s="78">
        <v>56</v>
      </c>
      <c r="AX21" s="78">
        <v>0.17299999999999999</v>
      </c>
      <c r="AY21" s="209">
        <f>0.276*25.4</f>
        <v>7.0104000000000006</v>
      </c>
      <c r="AZ21" s="86">
        <v>192000</v>
      </c>
      <c r="BA21" s="86"/>
      <c r="BB21" s="202">
        <v>0.16</v>
      </c>
      <c r="BC21" s="210">
        <v>115</v>
      </c>
      <c r="BD21" s="210">
        <v>132</v>
      </c>
      <c r="BE21" s="210">
        <v>149</v>
      </c>
      <c r="BF21" s="211">
        <v>162</v>
      </c>
      <c r="BG21" s="211" t="s">
        <v>164</v>
      </c>
      <c r="BH21" s="195"/>
      <c r="BI21" s="195"/>
      <c r="BJ21" s="195"/>
    </row>
    <row r="22" spans="1:62" ht="14.25" x14ac:dyDescent="0.2">
      <c r="A22" s="25" t="s">
        <v>67</v>
      </c>
      <c r="B22" s="169">
        <v>0.49</v>
      </c>
      <c r="D22" t="s">
        <v>288</v>
      </c>
      <c r="I22" s="33"/>
      <c r="J22" s="96"/>
      <c r="K22" s="96"/>
      <c r="L22" s="96"/>
      <c r="M22" s="96"/>
      <c r="N22" s="96"/>
      <c r="O22" s="96"/>
      <c r="P22" s="96"/>
      <c r="Q22" s="96"/>
      <c r="R22" s="96"/>
      <c r="S22" s="96"/>
      <c r="T22" s="96"/>
      <c r="U22" s="96"/>
      <c r="V22" s="33"/>
      <c r="Z22" s="24" t="s">
        <v>17</v>
      </c>
      <c r="AA22" s="24" t="str">
        <f t="shared" si="3"/>
        <v>LOCK T 50x175</v>
      </c>
      <c r="AB22" s="235">
        <v>50</v>
      </c>
      <c r="AC22" s="235">
        <v>175</v>
      </c>
      <c r="AD22" s="21">
        <v>16</v>
      </c>
      <c r="AE22" s="21">
        <v>7</v>
      </c>
      <c r="AF22" s="42" t="s">
        <v>439</v>
      </c>
      <c r="AG22" s="21">
        <v>2</v>
      </c>
      <c r="AH22" s="174">
        <v>10</v>
      </c>
      <c r="AI22" s="93"/>
      <c r="AJ22" s="175">
        <v>190</v>
      </c>
      <c r="AK22" s="175">
        <v>74</v>
      </c>
      <c r="AL22" s="175">
        <v>175</v>
      </c>
      <c r="AM22" s="175">
        <v>80</v>
      </c>
      <c r="AN22" s="175">
        <v>175</v>
      </c>
      <c r="AO22" s="175">
        <v>22</v>
      </c>
      <c r="AP22" s="231" t="s">
        <v>396</v>
      </c>
      <c r="AQ22" s="64" t="s">
        <v>171</v>
      </c>
      <c r="AR22" s="65" t="str">
        <f t="shared" si="1"/>
        <v>LBS Ø 7 x 80</v>
      </c>
      <c r="AS22" s="66" t="s">
        <v>164</v>
      </c>
      <c r="AT22" s="67">
        <v>7</v>
      </c>
      <c r="AU22" s="67" t="s">
        <v>165</v>
      </c>
      <c r="AV22" s="67">
        <v>80</v>
      </c>
      <c r="AW22" s="63">
        <v>76</v>
      </c>
      <c r="AX22" s="63">
        <v>0.17299999999999999</v>
      </c>
      <c r="AY22" s="80">
        <f t="shared" ref="AY22:AY23" si="4">0.276*25.4</f>
        <v>7.0104000000000006</v>
      </c>
      <c r="AZ22" s="84">
        <v>192000</v>
      </c>
      <c r="BA22" s="84"/>
      <c r="BB22" s="200">
        <v>0.16</v>
      </c>
      <c r="BC22" s="204">
        <v>115</v>
      </c>
      <c r="BD22" s="204">
        <v>132</v>
      </c>
      <c r="BE22" s="204">
        <v>149</v>
      </c>
      <c r="BF22" s="212">
        <v>162</v>
      </c>
      <c r="BG22" s="212" t="s">
        <v>164</v>
      </c>
      <c r="BH22" s="195"/>
      <c r="BI22" s="195"/>
      <c r="BJ22" s="195"/>
    </row>
    <row r="23" spans="1:62" ht="15" thickBot="1" x14ac:dyDescent="0.25">
      <c r="A23" s="25" t="s">
        <v>68</v>
      </c>
      <c r="B23" s="169">
        <v>0.46</v>
      </c>
      <c r="D23" s="165" t="s">
        <v>47</v>
      </c>
      <c r="F23" s="2">
        <v>90</v>
      </c>
      <c r="G23" t="s">
        <v>289</v>
      </c>
      <c r="I23" s="33"/>
      <c r="J23" s="96"/>
      <c r="K23" s="96"/>
      <c r="L23" s="96"/>
      <c r="M23" s="96"/>
      <c r="N23" s="96"/>
      <c r="O23" s="96"/>
      <c r="P23" s="96"/>
      <c r="Q23" s="96"/>
      <c r="R23" s="96"/>
      <c r="S23" s="96"/>
      <c r="T23" s="96"/>
      <c r="U23" s="96"/>
      <c r="V23" s="33"/>
      <c r="Z23" s="24" t="s">
        <v>18</v>
      </c>
      <c r="AA23" s="24" t="str">
        <f t="shared" si="3"/>
        <v>LOCK T 75x175</v>
      </c>
      <c r="AB23" s="235">
        <v>75</v>
      </c>
      <c r="AC23" s="235">
        <v>175</v>
      </c>
      <c r="AD23" s="21">
        <v>24</v>
      </c>
      <c r="AE23" s="21">
        <v>7</v>
      </c>
      <c r="AF23" s="42" t="s">
        <v>439</v>
      </c>
      <c r="AG23" s="21">
        <v>3</v>
      </c>
      <c r="AH23" s="174">
        <v>10</v>
      </c>
      <c r="AI23" s="93"/>
      <c r="AJ23" s="175">
        <v>190</v>
      </c>
      <c r="AK23" s="175">
        <v>99</v>
      </c>
      <c r="AL23" s="175">
        <v>175</v>
      </c>
      <c r="AM23" s="175">
        <v>105</v>
      </c>
      <c r="AN23" s="175">
        <v>175</v>
      </c>
      <c r="AO23" s="175">
        <v>22</v>
      </c>
      <c r="AP23" s="231" t="s">
        <v>396</v>
      </c>
      <c r="AQ23" s="69" t="s">
        <v>172</v>
      </c>
      <c r="AR23" s="70" t="str">
        <f t="shared" si="1"/>
        <v>LBS Ø 7 x 100</v>
      </c>
      <c r="AS23" s="71" t="s">
        <v>164</v>
      </c>
      <c r="AT23" s="72">
        <v>7</v>
      </c>
      <c r="AU23" s="72" t="s">
        <v>165</v>
      </c>
      <c r="AV23" s="72">
        <v>100</v>
      </c>
      <c r="AW23" s="216">
        <v>96</v>
      </c>
      <c r="AX23" s="216">
        <v>0.17299999999999999</v>
      </c>
      <c r="AY23" s="217">
        <f t="shared" si="4"/>
        <v>7.0104000000000006</v>
      </c>
      <c r="AZ23" s="218">
        <v>192000</v>
      </c>
      <c r="BA23" s="218"/>
      <c r="BB23" s="219">
        <v>0.16</v>
      </c>
      <c r="BC23" s="213">
        <v>115</v>
      </c>
      <c r="BD23" s="213">
        <v>132</v>
      </c>
      <c r="BE23" s="213">
        <v>149</v>
      </c>
      <c r="BF23" s="214">
        <v>162</v>
      </c>
      <c r="BG23" s="214" t="s">
        <v>164</v>
      </c>
      <c r="BH23" s="195"/>
      <c r="BI23" s="195"/>
      <c r="BJ23" s="195"/>
    </row>
    <row r="24" spans="1:62" ht="15" x14ac:dyDescent="0.25">
      <c r="A24" s="25" t="s">
        <v>69</v>
      </c>
      <c r="B24" s="169">
        <v>0.41</v>
      </c>
      <c r="D24" s="165" t="s">
        <v>51</v>
      </c>
      <c r="F24" s="2">
        <f>1+0.25*(F23/90)</f>
        <v>1.25</v>
      </c>
      <c r="I24" s="33"/>
      <c r="J24" s="96"/>
      <c r="K24" s="96"/>
      <c r="L24" s="96"/>
      <c r="M24" s="96"/>
      <c r="N24" s="96"/>
      <c r="O24" s="96"/>
      <c r="P24" s="96"/>
      <c r="Q24" s="96"/>
      <c r="R24" s="96"/>
      <c r="S24" s="96"/>
      <c r="T24" s="96"/>
      <c r="U24" s="96"/>
      <c r="V24" s="33"/>
      <c r="Z24" s="24" t="s">
        <v>19</v>
      </c>
      <c r="AA24" s="24" t="str">
        <f t="shared" si="3"/>
        <v>LOCK T 75x215</v>
      </c>
      <c r="AB24" s="235">
        <v>75</v>
      </c>
      <c r="AC24" s="235">
        <v>215</v>
      </c>
      <c r="AD24" s="21">
        <v>36</v>
      </c>
      <c r="AE24" s="21">
        <v>7</v>
      </c>
      <c r="AF24" s="42" t="s">
        <v>439</v>
      </c>
      <c r="AG24" s="21">
        <v>3</v>
      </c>
      <c r="AH24" s="21">
        <v>17.2</v>
      </c>
      <c r="AI24" s="24"/>
      <c r="AJ24" s="175">
        <v>230</v>
      </c>
      <c r="AK24" s="175">
        <v>99</v>
      </c>
      <c r="AL24" s="175">
        <v>175</v>
      </c>
      <c r="AM24" s="175">
        <v>105</v>
      </c>
      <c r="AN24" s="175">
        <v>215</v>
      </c>
      <c r="AO24" s="175">
        <v>22</v>
      </c>
      <c r="AP24" s="231" t="s">
        <v>396</v>
      </c>
      <c r="AQ24" s="74" t="s">
        <v>173</v>
      </c>
      <c r="AR24" s="75" t="str">
        <f t="shared" si="1"/>
        <v>KKF Ø 5 x 40</v>
      </c>
      <c r="AS24" s="76" t="s">
        <v>174</v>
      </c>
      <c r="AT24" s="77">
        <v>5</v>
      </c>
      <c r="AU24" s="77" t="s">
        <v>165</v>
      </c>
      <c r="AV24" s="77">
        <v>40</v>
      </c>
      <c r="AW24" s="78">
        <v>24</v>
      </c>
      <c r="AX24" s="88">
        <f>3.25/25.4</f>
        <v>0.12795275590551181</v>
      </c>
      <c r="AY24" s="78">
        <f>AT24</f>
        <v>5</v>
      </c>
      <c r="AZ24" s="86">
        <v>164000</v>
      </c>
      <c r="BA24" s="90" t="s">
        <v>233</v>
      </c>
      <c r="BB24" s="202">
        <v>0.12</v>
      </c>
      <c r="BC24" s="220"/>
      <c r="BD24" s="220"/>
      <c r="BE24" s="220"/>
      <c r="BF24" s="221"/>
      <c r="BG24" s="211" t="s">
        <v>174</v>
      </c>
      <c r="BH24" s="195"/>
      <c r="BI24" s="195"/>
      <c r="BJ24" s="195"/>
    </row>
    <row r="25" spans="1:62" ht="15" x14ac:dyDescent="0.25">
      <c r="A25" s="25" t="s">
        <v>70</v>
      </c>
      <c r="B25" s="169">
        <v>0.41</v>
      </c>
      <c r="D25" s="165" t="s">
        <v>52</v>
      </c>
      <c r="F25" s="2">
        <f>IF(F19&lt;=0.17,2.2,10*F19+0.5)</f>
        <v>2.23</v>
      </c>
      <c r="I25" s="33"/>
      <c r="J25" s="96"/>
      <c r="K25" s="96"/>
      <c r="L25" s="96"/>
      <c r="M25" s="96"/>
      <c r="N25" s="96"/>
      <c r="O25" s="96"/>
      <c r="P25" s="96"/>
      <c r="Q25" s="96"/>
      <c r="R25" s="96"/>
      <c r="S25" s="96"/>
      <c r="T25" s="96"/>
      <c r="U25" s="96"/>
      <c r="V25" s="33"/>
      <c r="Z25" s="24" t="s">
        <v>20</v>
      </c>
      <c r="AA25" s="24" t="str">
        <f>CONCATENATE(LEFT(Z25,4)," T ", RIGHT(LEFT(Z25,8),3),"x",RIGHT(LEFT(Z25,11),3))</f>
        <v>LOCK T 100x215</v>
      </c>
      <c r="AB25" s="235">
        <v>100</v>
      </c>
      <c r="AC25" s="235">
        <v>215</v>
      </c>
      <c r="AD25" s="21">
        <v>48</v>
      </c>
      <c r="AE25" s="21">
        <v>7</v>
      </c>
      <c r="AF25" s="42" t="s">
        <v>439</v>
      </c>
      <c r="AG25" s="21">
        <v>4</v>
      </c>
      <c r="AH25" s="21">
        <v>17.2</v>
      </c>
      <c r="AI25" s="24"/>
      <c r="AJ25" s="175">
        <v>230</v>
      </c>
      <c r="AK25" s="175">
        <v>124</v>
      </c>
      <c r="AL25" s="175">
        <v>215</v>
      </c>
      <c r="AM25" s="175">
        <v>130</v>
      </c>
      <c r="AN25" s="175">
        <v>215</v>
      </c>
      <c r="AO25" s="175">
        <v>22</v>
      </c>
      <c r="AP25" s="231" t="s">
        <v>396</v>
      </c>
      <c r="AQ25" s="64" t="s">
        <v>175</v>
      </c>
      <c r="AR25" s="65" t="str">
        <f t="shared" si="1"/>
        <v>KKF Ø 5 x 50</v>
      </c>
      <c r="AS25" s="66" t="s">
        <v>174</v>
      </c>
      <c r="AT25" s="67">
        <v>5</v>
      </c>
      <c r="AU25" s="67" t="s">
        <v>165</v>
      </c>
      <c r="AV25" s="67">
        <v>50</v>
      </c>
      <c r="AW25" s="68">
        <v>30</v>
      </c>
      <c r="AX25" s="89">
        <f t="shared" ref="AX25:AX30" si="5">3.25/25.4</f>
        <v>0.12795275590551181</v>
      </c>
      <c r="AY25" s="68">
        <f t="shared" ref="AY25:AY39" si="6">AT25</f>
        <v>5</v>
      </c>
      <c r="AZ25" s="87">
        <v>164000</v>
      </c>
      <c r="BA25" s="91" t="s">
        <v>233</v>
      </c>
      <c r="BB25" s="203">
        <v>0.12</v>
      </c>
      <c r="BC25" s="205"/>
      <c r="BD25" s="205"/>
      <c r="BE25" s="205"/>
      <c r="BF25" s="222"/>
      <c r="BG25" s="212" t="s">
        <v>174</v>
      </c>
      <c r="BH25" s="195"/>
      <c r="BI25" s="195"/>
      <c r="BJ25" s="195"/>
    </row>
    <row r="26" spans="1:62" ht="15" x14ac:dyDescent="0.25">
      <c r="A26" s="25" t="s">
        <v>71</v>
      </c>
      <c r="B26" s="169">
        <v>0.47</v>
      </c>
      <c r="D26" s="165" t="s">
        <v>25</v>
      </c>
      <c r="F26" s="2">
        <f>IF(AND(F19&gt;=0.25,F19&lt;=1),4*F24,IF(F19&lt;0.25,IF(AND(F18&gt;=0.25,F19&lt;0.25),F25*F24,F25)))</f>
        <v>2.7875000000000001</v>
      </c>
      <c r="I26" s="33"/>
      <c r="J26" s="96"/>
      <c r="K26" s="96"/>
      <c r="L26" s="96"/>
      <c r="M26" s="96"/>
      <c r="N26" s="96"/>
      <c r="O26" s="96"/>
      <c r="P26" s="96"/>
      <c r="Q26" s="96"/>
      <c r="R26" s="96"/>
      <c r="S26" s="96"/>
      <c r="T26" s="96"/>
      <c r="U26" s="96"/>
      <c r="V26" s="33"/>
      <c r="Z26" s="24" t="s">
        <v>153</v>
      </c>
      <c r="AA26" s="24" t="str">
        <f>CONCATENATE(LEFT(Z26,4)," T ", RIGHT(LEFT(Z26,7),2),"x",RIGHT(LEFT(Z26,10),3))</f>
        <v>LOCK T 75x240</v>
      </c>
      <c r="AB26" s="235">
        <v>75</v>
      </c>
      <c r="AC26" s="235">
        <v>240</v>
      </c>
      <c r="AD26" s="21">
        <v>42</v>
      </c>
      <c r="AE26" s="21">
        <v>7</v>
      </c>
      <c r="AF26" s="42" t="s">
        <v>439</v>
      </c>
      <c r="AG26" s="21">
        <v>3</v>
      </c>
      <c r="AH26" s="21">
        <v>22.7</v>
      </c>
      <c r="AI26" s="24"/>
      <c r="AJ26" s="175">
        <v>255</v>
      </c>
      <c r="AK26" s="21">
        <v>99</v>
      </c>
      <c r="AL26" s="21">
        <v>240</v>
      </c>
      <c r="AM26" s="21">
        <v>105</v>
      </c>
      <c r="AN26" s="21">
        <v>240</v>
      </c>
      <c r="AO26" s="175">
        <v>22</v>
      </c>
      <c r="AP26" s="231" t="s">
        <v>396</v>
      </c>
      <c r="AQ26" s="64" t="s">
        <v>176</v>
      </c>
      <c r="AR26" s="65" t="str">
        <f t="shared" si="1"/>
        <v>KKF Ø 5 x 60</v>
      </c>
      <c r="AS26" s="66" t="s">
        <v>174</v>
      </c>
      <c r="AT26" s="67">
        <v>5</v>
      </c>
      <c r="AU26" s="67" t="s">
        <v>165</v>
      </c>
      <c r="AV26" s="67">
        <v>60</v>
      </c>
      <c r="AW26" s="68">
        <v>35</v>
      </c>
      <c r="AX26" s="89">
        <f t="shared" si="5"/>
        <v>0.12795275590551181</v>
      </c>
      <c r="AY26" s="68">
        <f t="shared" si="6"/>
        <v>5</v>
      </c>
      <c r="AZ26" s="87">
        <v>164000</v>
      </c>
      <c r="BA26" s="91" t="s">
        <v>233</v>
      </c>
      <c r="BB26" s="203">
        <v>0.12</v>
      </c>
      <c r="BC26" s="205"/>
      <c r="BD26" s="205"/>
      <c r="BE26" s="205"/>
      <c r="BF26" s="222"/>
      <c r="BG26" s="212" t="s">
        <v>174</v>
      </c>
      <c r="BH26" s="195"/>
      <c r="BI26" s="195"/>
      <c r="BJ26" s="195"/>
    </row>
    <row r="27" spans="1:62" ht="15" x14ac:dyDescent="0.25">
      <c r="A27" s="25" t="s">
        <v>73</v>
      </c>
      <c r="B27" s="169">
        <v>0.41</v>
      </c>
      <c r="D27" s="165" t="s">
        <v>26</v>
      </c>
      <c r="F27" s="2">
        <f>IF(AND(F19&gt;=0.25,F19&lt;=1),3.6*F24,IF(F19&lt;0.25,IF(AND(F18&gt;=0.25,F19&lt;0.25),F25*F24,F25)))</f>
        <v>2.7875000000000001</v>
      </c>
      <c r="I27" s="33"/>
      <c r="J27" s="96"/>
      <c r="K27" s="96"/>
      <c r="L27" s="96"/>
      <c r="M27" s="96"/>
      <c r="N27" s="96"/>
      <c r="O27" s="96"/>
      <c r="P27" s="96"/>
      <c r="Q27" s="96"/>
      <c r="R27" s="96"/>
      <c r="S27" s="96"/>
      <c r="T27" s="96"/>
      <c r="U27" s="96"/>
      <c r="V27" s="33"/>
      <c r="Z27" s="24" t="s">
        <v>152</v>
      </c>
      <c r="AA27" s="24" t="str">
        <f>CONCATENATE(LEFT(Z27,4)," T ", RIGHT(LEFT(Z27,8),3),"x",RIGHT(LEFT(Z27,11),3))</f>
        <v>LOCK T 100x240</v>
      </c>
      <c r="AB27" s="235">
        <v>100</v>
      </c>
      <c r="AC27" s="235">
        <v>240</v>
      </c>
      <c r="AD27" s="21">
        <v>56</v>
      </c>
      <c r="AE27" s="21">
        <v>7</v>
      </c>
      <c r="AF27" s="42" t="s">
        <v>439</v>
      </c>
      <c r="AG27" s="21">
        <v>4</v>
      </c>
      <c r="AH27" s="21">
        <v>22.7</v>
      </c>
      <c r="AI27" s="24"/>
      <c r="AJ27" s="175">
        <v>255</v>
      </c>
      <c r="AK27" s="21">
        <v>124</v>
      </c>
      <c r="AL27" s="21">
        <v>240</v>
      </c>
      <c r="AM27" s="21">
        <v>130</v>
      </c>
      <c r="AN27" s="21">
        <v>240</v>
      </c>
      <c r="AO27" s="175">
        <v>22</v>
      </c>
      <c r="AP27" s="231" t="s">
        <v>396</v>
      </c>
      <c r="AQ27" s="64" t="s">
        <v>177</v>
      </c>
      <c r="AR27" s="65" t="str">
        <f t="shared" si="1"/>
        <v>KKF Ø 5 x 70</v>
      </c>
      <c r="AS27" s="66" t="s">
        <v>174</v>
      </c>
      <c r="AT27" s="67">
        <v>5</v>
      </c>
      <c r="AU27" s="67" t="s">
        <v>165</v>
      </c>
      <c r="AV27" s="67">
        <v>70</v>
      </c>
      <c r="AW27" s="68">
        <v>40</v>
      </c>
      <c r="AX27" s="89">
        <f t="shared" si="5"/>
        <v>0.12795275590551181</v>
      </c>
      <c r="AY27" s="68">
        <f t="shared" si="6"/>
        <v>5</v>
      </c>
      <c r="AZ27" s="87">
        <v>164000</v>
      </c>
      <c r="BA27" s="91" t="s">
        <v>233</v>
      </c>
      <c r="BB27" s="203">
        <v>0.12</v>
      </c>
      <c r="BC27" s="205"/>
      <c r="BD27" s="205"/>
      <c r="BE27" s="205"/>
      <c r="BF27" s="222"/>
      <c r="BG27" s="212" t="s">
        <v>174</v>
      </c>
      <c r="BH27" s="195"/>
      <c r="BI27" s="195"/>
      <c r="BJ27" s="195"/>
    </row>
    <row r="28" spans="1:62" ht="15" x14ac:dyDescent="0.25">
      <c r="A28" s="25" t="s">
        <v>74</v>
      </c>
      <c r="B28" s="169">
        <v>0.36</v>
      </c>
      <c r="D28" s="165" t="s">
        <v>27</v>
      </c>
      <c r="F28" s="2">
        <f>IF(AND(F19&gt;=0.25,F19&lt;=1),3.2*F24,IF(F19&lt;0.25,IF(AND(F18&gt;=0.25,F19&lt;0.25),F25*F24,F25)))</f>
        <v>2.7875000000000001</v>
      </c>
      <c r="I28" s="33"/>
      <c r="J28" s="96"/>
      <c r="K28" s="96"/>
      <c r="L28" s="96"/>
      <c r="M28" s="96"/>
      <c r="N28" s="96"/>
      <c r="O28" s="96"/>
      <c r="P28" s="96"/>
      <c r="Q28" s="96"/>
      <c r="R28" s="96"/>
      <c r="S28" s="96"/>
      <c r="T28" s="96"/>
      <c r="U28" s="96"/>
      <c r="V28" s="33"/>
      <c r="Z28" s="24" t="s">
        <v>154</v>
      </c>
      <c r="AA28" s="24" t="str">
        <f>CONCATENATE(LEFT(Z28,4)," T ", RIGHT(LEFT(Z28,8),3),"x",RIGHT(LEFT(Z28,11),3))</f>
        <v>LOCK T 125x240</v>
      </c>
      <c r="AB28" s="235">
        <v>125</v>
      </c>
      <c r="AC28" s="235">
        <v>240</v>
      </c>
      <c r="AD28" s="21">
        <v>70</v>
      </c>
      <c r="AE28" s="21">
        <v>7</v>
      </c>
      <c r="AF28" s="42" t="s">
        <v>439</v>
      </c>
      <c r="AG28" s="21">
        <v>5</v>
      </c>
      <c r="AH28" s="21">
        <v>22.7</v>
      </c>
      <c r="AI28" s="24"/>
      <c r="AJ28" s="175">
        <v>255</v>
      </c>
      <c r="AK28" s="21">
        <v>149</v>
      </c>
      <c r="AL28" s="21">
        <v>240</v>
      </c>
      <c r="AM28" s="21">
        <v>155</v>
      </c>
      <c r="AN28" s="21">
        <v>240</v>
      </c>
      <c r="AO28" s="175">
        <v>22</v>
      </c>
      <c r="AP28" s="231" t="s">
        <v>396</v>
      </c>
      <c r="AQ28" s="64" t="s">
        <v>178</v>
      </c>
      <c r="AR28" s="65" t="str">
        <f t="shared" si="1"/>
        <v>KKF Ø 5 x 80</v>
      </c>
      <c r="AS28" s="61" t="s">
        <v>174</v>
      </c>
      <c r="AT28" s="62">
        <v>5</v>
      </c>
      <c r="AU28" s="62" t="s">
        <v>165</v>
      </c>
      <c r="AV28" s="62">
        <v>80</v>
      </c>
      <c r="AW28" s="68">
        <v>50</v>
      </c>
      <c r="AX28" s="89">
        <f t="shared" si="5"/>
        <v>0.12795275590551181</v>
      </c>
      <c r="AY28" s="68">
        <f t="shared" si="6"/>
        <v>5</v>
      </c>
      <c r="AZ28" s="87">
        <v>164000</v>
      </c>
      <c r="BA28" s="91" t="s">
        <v>233</v>
      </c>
      <c r="BB28" s="203">
        <v>0.12</v>
      </c>
      <c r="BC28" s="205"/>
      <c r="BD28" s="205"/>
      <c r="BE28" s="205"/>
      <c r="BF28" s="222"/>
      <c r="BG28" s="212" t="s">
        <v>174</v>
      </c>
      <c r="BH28" s="195"/>
      <c r="BI28" s="195"/>
      <c r="BJ28" s="195"/>
    </row>
    <row r="29" spans="1:62" ht="14.25" x14ac:dyDescent="0.2">
      <c r="A29" s="25" t="s">
        <v>75</v>
      </c>
      <c r="B29" s="169">
        <v>0.43</v>
      </c>
      <c r="I29" s="33"/>
      <c r="J29" s="96"/>
      <c r="K29" s="96"/>
      <c r="L29" s="96"/>
      <c r="M29" s="96"/>
      <c r="N29" s="96"/>
      <c r="O29" s="96"/>
      <c r="P29" s="96"/>
      <c r="Q29" s="96"/>
      <c r="R29" s="96"/>
      <c r="S29" s="96"/>
      <c r="T29" s="96"/>
      <c r="U29" s="96"/>
      <c r="V29" s="33"/>
      <c r="Z29" s="24" t="s">
        <v>155</v>
      </c>
      <c r="AA29" s="24" t="str">
        <f>CONCATENATE(LEFT(Z29,4)," T ", RIGHT(LEFT(Z29,7),2),"x",RIGHT(LEFT(Z29,10),3))</f>
        <v>LOCK T 75x265</v>
      </c>
      <c r="AB29" s="235">
        <v>75</v>
      </c>
      <c r="AC29" s="235">
        <v>265</v>
      </c>
      <c r="AD29" s="21">
        <v>48</v>
      </c>
      <c r="AE29" s="21">
        <v>7</v>
      </c>
      <c r="AF29" s="42" t="s">
        <v>439</v>
      </c>
      <c r="AG29" s="21">
        <v>3</v>
      </c>
      <c r="AH29" s="174">
        <v>29</v>
      </c>
      <c r="AI29" s="93"/>
      <c r="AJ29" s="175">
        <v>280</v>
      </c>
      <c r="AK29" s="174">
        <v>99</v>
      </c>
      <c r="AL29" s="175">
        <v>265</v>
      </c>
      <c r="AM29" s="175">
        <v>105</v>
      </c>
      <c r="AN29" s="21">
        <v>265</v>
      </c>
      <c r="AO29" s="175">
        <v>22</v>
      </c>
      <c r="AP29" s="231" t="s">
        <v>396</v>
      </c>
      <c r="AQ29" s="64" t="s">
        <v>179</v>
      </c>
      <c r="AR29" s="65" t="str">
        <f t="shared" si="1"/>
        <v>KKF Ø 5 x 90</v>
      </c>
      <c r="AS29" s="66" t="s">
        <v>174</v>
      </c>
      <c r="AT29" s="67">
        <v>5</v>
      </c>
      <c r="AU29" s="67" t="s">
        <v>165</v>
      </c>
      <c r="AV29" s="67">
        <v>90</v>
      </c>
      <c r="AW29" s="68">
        <v>55</v>
      </c>
      <c r="AX29" s="89">
        <f t="shared" si="5"/>
        <v>0.12795275590551181</v>
      </c>
      <c r="AY29" s="68">
        <f t="shared" si="6"/>
        <v>5</v>
      </c>
      <c r="AZ29" s="87">
        <v>164000</v>
      </c>
      <c r="BA29" s="91" t="s">
        <v>233</v>
      </c>
      <c r="BB29" s="203">
        <v>0.12</v>
      </c>
      <c r="BC29" s="205"/>
      <c r="BD29" s="205"/>
      <c r="BE29" s="205"/>
      <c r="BF29" s="222"/>
      <c r="BG29" s="212" t="s">
        <v>174</v>
      </c>
      <c r="BH29" s="195"/>
      <c r="BI29" s="195"/>
      <c r="BJ29" s="195"/>
    </row>
    <row r="30" spans="1:62" ht="15.75" thickBot="1" x14ac:dyDescent="0.3">
      <c r="A30" s="25" t="s">
        <v>76</v>
      </c>
      <c r="B30" s="169">
        <v>0.46</v>
      </c>
      <c r="D30" t="s">
        <v>290</v>
      </c>
      <c r="E30" s="2"/>
      <c r="I30" s="33"/>
      <c r="J30" s="96"/>
      <c r="K30" s="96"/>
      <c r="L30" s="96"/>
      <c r="M30" s="96"/>
      <c r="N30" s="96"/>
      <c r="O30" s="96"/>
      <c r="P30" s="96"/>
      <c r="Q30" s="96"/>
      <c r="R30" s="96"/>
      <c r="S30" s="96"/>
      <c r="T30" s="96"/>
      <c r="U30" s="96"/>
      <c r="V30" s="33"/>
      <c r="Z30" s="24" t="s">
        <v>156</v>
      </c>
      <c r="AA30" s="24" t="str">
        <f>CONCATENATE(LEFT(Z30,4)," T ", RIGHT(LEFT(Z30,8),3),"x",RIGHT(LEFT(Z30,11),3))</f>
        <v>LOCK T 100x265</v>
      </c>
      <c r="AB30" s="235">
        <v>100</v>
      </c>
      <c r="AC30" s="235">
        <v>265</v>
      </c>
      <c r="AD30" s="21">
        <v>64</v>
      </c>
      <c r="AE30" s="21">
        <v>7</v>
      </c>
      <c r="AF30" s="42" t="s">
        <v>439</v>
      </c>
      <c r="AG30" s="21">
        <v>4</v>
      </c>
      <c r="AH30" s="174">
        <v>29</v>
      </c>
      <c r="AI30" s="93"/>
      <c r="AJ30" s="175">
        <v>280</v>
      </c>
      <c r="AK30" s="175">
        <v>124</v>
      </c>
      <c r="AL30" s="175">
        <v>265</v>
      </c>
      <c r="AM30" s="175">
        <v>130</v>
      </c>
      <c r="AN30" s="21">
        <v>265</v>
      </c>
      <c r="AO30" s="175">
        <v>22</v>
      </c>
      <c r="AP30" s="231" t="s">
        <v>396</v>
      </c>
      <c r="AQ30" s="69" t="s">
        <v>180</v>
      </c>
      <c r="AR30" s="70" t="str">
        <f t="shared" si="1"/>
        <v>KKF Ø 5 x 100</v>
      </c>
      <c r="AS30" s="71" t="s">
        <v>174</v>
      </c>
      <c r="AT30" s="72">
        <v>5</v>
      </c>
      <c r="AU30" s="72" t="s">
        <v>165</v>
      </c>
      <c r="AV30" s="72">
        <v>100</v>
      </c>
      <c r="AW30" s="73">
        <v>60</v>
      </c>
      <c r="AX30" s="79">
        <f t="shared" si="5"/>
        <v>0.12795275590551181</v>
      </c>
      <c r="AY30" s="73">
        <f t="shared" si="6"/>
        <v>5</v>
      </c>
      <c r="AZ30" s="85">
        <v>164000</v>
      </c>
      <c r="BA30" s="92" t="s">
        <v>233</v>
      </c>
      <c r="BB30" s="201">
        <v>0.12</v>
      </c>
      <c r="BC30" s="223"/>
      <c r="BD30" s="223"/>
      <c r="BE30" s="223"/>
      <c r="BF30" s="224"/>
      <c r="BG30" s="214" t="s">
        <v>174</v>
      </c>
      <c r="BH30" s="195"/>
      <c r="BI30" s="195"/>
      <c r="BJ30" s="195"/>
    </row>
    <row r="31" spans="1:62" ht="14.25" x14ac:dyDescent="0.2">
      <c r="A31" s="25" t="s">
        <v>77</v>
      </c>
      <c r="B31" s="169">
        <v>0.55000000000000004</v>
      </c>
      <c r="D31" s="165" t="s">
        <v>291</v>
      </c>
      <c r="F31" s="2">
        <v>90</v>
      </c>
      <c r="G31" t="s">
        <v>292</v>
      </c>
      <c r="H31" t="s">
        <v>298</v>
      </c>
      <c r="I31" s="33"/>
      <c r="J31" s="96"/>
      <c r="K31" s="96"/>
      <c r="L31" s="96"/>
      <c r="M31" s="96"/>
      <c r="N31" s="96"/>
      <c r="O31" s="96"/>
      <c r="P31" s="96"/>
      <c r="Q31" s="96"/>
      <c r="R31" s="96"/>
      <c r="S31" s="96"/>
      <c r="T31" s="96"/>
      <c r="U31" s="96"/>
      <c r="V31" s="33"/>
      <c r="Z31" s="24" t="s">
        <v>157</v>
      </c>
      <c r="AA31" s="24" t="str">
        <f>CONCATENATE(LEFT(Z31,4)," T ", RIGHT(LEFT(Z31,8),3),"x",RIGHT(LEFT(Z31,11),3))</f>
        <v>LOCK T 125x265</v>
      </c>
      <c r="AB31" s="235">
        <v>125</v>
      </c>
      <c r="AC31" s="235">
        <v>265</v>
      </c>
      <c r="AD31" s="21">
        <v>80</v>
      </c>
      <c r="AE31" s="21">
        <v>7</v>
      </c>
      <c r="AF31" s="42" t="s">
        <v>439</v>
      </c>
      <c r="AG31" s="21">
        <v>5</v>
      </c>
      <c r="AH31" s="174">
        <v>29</v>
      </c>
      <c r="AI31" s="93"/>
      <c r="AJ31" s="175">
        <v>280</v>
      </c>
      <c r="AK31" s="174">
        <v>149</v>
      </c>
      <c r="AL31" s="175">
        <v>265</v>
      </c>
      <c r="AM31" s="175">
        <v>155</v>
      </c>
      <c r="AN31" s="21">
        <v>265</v>
      </c>
      <c r="AO31" s="175">
        <v>22</v>
      </c>
      <c r="AP31" s="231" t="s">
        <v>396</v>
      </c>
      <c r="AQ31" s="74" t="s">
        <v>181</v>
      </c>
      <c r="AR31" s="75" t="str">
        <f t="shared" si="1"/>
        <v>KKF Ø 6 x 80</v>
      </c>
      <c r="AS31" s="76" t="s">
        <v>174</v>
      </c>
      <c r="AT31" s="77">
        <v>6</v>
      </c>
      <c r="AU31" s="77" t="s">
        <v>165</v>
      </c>
      <c r="AV31" s="77">
        <v>80</v>
      </c>
      <c r="AW31" s="78">
        <v>50</v>
      </c>
      <c r="AX31" s="88">
        <f>4.05/25.4</f>
        <v>0.15944881889763779</v>
      </c>
      <c r="AY31" s="78">
        <f t="shared" si="6"/>
        <v>6</v>
      </c>
      <c r="AZ31" s="78">
        <v>150000</v>
      </c>
      <c r="BA31" s="75" t="s">
        <v>233</v>
      </c>
      <c r="BB31" s="202">
        <v>0.16</v>
      </c>
      <c r="BC31" s="220"/>
      <c r="BD31" s="220"/>
      <c r="BE31" s="220"/>
      <c r="BF31" s="221"/>
      <c r="BG31" s="211" t="s">
        <v>174</v>
      </c>
      <c r="BH31" s="195"/>
      <c r="BI31" s="195"/>
      <c r="BJ31" s="195"/>
    </row>
    <row r="32" spans="1:62" ht="14.25" x14ac:dyDescent="0.2">
      <c r="A32" s="25" t="s">
        <v>78</v>
      </c>
      <c r="B32" s="169">
        <v>0.68</v>
      </c>
      <c r="D32" s="165" t="s">
        <v>250</v>
      </c>
      <c r="F32" s="16">
        <f>M102</f>
        <v>0.49</v>
      </c>
      <c r="I32" s="33"/>
      <c r="J32" s="96"/>
      <c r="K32" s="96"/>
      <c r="L32" s="96"/>
      <c r="M32" s="96"/>
      <c r="N32" s="96"/>
      <c r="O32" s="96"/>
      <c r="P32" s="96"/>
      <c r="Q32" s="96"/>
      <c r="R32" s="96"/>
      <c r="S32" s="96"/>
      <c r="T32" s="96"/>
      <c r="U32" s="96"/>
      <c r="V32" s="33"/>
      <c r="Z32" s="24" t="s">
        <v>158</v>
      </c>
      <c r="AA32" s="24" t="str">
        <f>CONCATENATE(LEFT(Z32,4)," T ", RIGHT(LEFT(Z32,7),2),"x",RIGHT(LEFT(Z32,10),3))</f>
        <v>LOCK T 75x290</v>
      </c>
      <c r="AB32" s="235">
        <v>75</v>
      </c>
      <c r="AC32" s="235">
        <v>290</v>
      </c>
      <c r="AD32" s="21">
        <v>54</v>
      </c>
      <c r="AE32" s="21">
        <v>7</v>
      </c>
      <c r="AF32" s="42" t="s">
        <v>439</v>
      </c>
      <c r="AG32" s="21">
        <v>3</v>
      </c>
      <c r="AH32" s="174">
        <v>36</v>
      </c>
      <c r="AI32" s="93"/>
      <c r="AJ32" s="175">
        <v>305</v>
      </c>
      <c r="AK32" s="174">
        <v>99</v>
      </c>
      <c r="AL32" s="175">
        <v>290</v>
      </c>
      <c r="AM32" s="175">
        <v>105</v>
      </c>
      <c r="AN32" s="21">
        <v>290</v>
      </c>
      <c r="AO32" s="175">
        <v>22</v>
      </c>
      <c r="AP32" s="231" t="s">
        <v>396</v>
      </c>
      <c r="AQ32" s="64" t="s">
        <v>182</v>
      </c>
      <c r="AR32" s="65" t="str">
        <f t="shared" si="1"/>
        <v>KKF Ø 6 x 100</v>
      </c>
      <c r="AS32" s="66" t="s">
        <v>174</v>
      </c>
      <c r="AT32" s="67">
        <v>6</v>
      </c>
      <c r="AU32" s="67" t="s">
        <v>165</v>
      </c>
      <c r="AV32" s="67">
        <v>100</v>
      </c>
      <c r="AW32" s="68">
        <v>60</v>
      </c>
      <c r="AX32" s="89">
        <f t="shared" ref="AX32:AX33" si="7">4.05/25.4</f>
        <v>0.15944881889763779</v>
      </c>
      <c r="AY32" s="68">
        <f t="shared" si="6"/>
        <v>6</v>
      </c>
      <c r="AZ32" s="68">
        <v>150000</v>
      </c>
      <c r="BA32" s="65" t="s">
        <v>233</v>
      </c>
      <c r="BB32" s="203">
        <v>0.16</v>
      </c>
      <c r="BC32" s="205"/>
      <c r="BD32" s="205"/>
      <c r="BE32" s="205"/>
      <c r="BF32" s="222"/>
      <c r="BG32" s="212" t="s">
        <v>174</v>
      </c>
      <c r="BH32" s="195"/>
      <c r="BI32" s="195"/>
      <c r="BJ32" s="195"/>
    </row>
    <row r="33" spans="1:62" ht="15.75" thickBot="1" x14ac:dyDescent="0.3">
      <c r="A33" s="25" t="s">
        <v>79</v>
      </c>
      <c r="B33" s="169">
        <v>0.51</v>
      </c>
      <c r="D33" s="165" t="s">
        <v>49</v>
      </c>
      <c r="E33" s="2"/>
      <c r="F33" s="164">
        <f>11200*F32</f>
        <v>5488</v>
      </c>
      <c r="G33" t="s">
        <v>195</v>
      </c>
      <c r="I33" s="33"/>
      <c r="J33" s="96"/>
      <c r="K33" s="96"/>
      <c r="L33" s="96"/>
      <c r="M33" s="96"/>
      <c r="N33" s="96"/>
      <c r="O33" s="96"/>
      <c r="P33" s="96"/>
      <c r="Q33" s="96"/>
      <c r="R33" s="96"/>
      <c r="S33" s="96"/>
      <c r="T33" s="96"/>
      <c r="U33" s="96"/>
      <c r="V33" s="33"/>
      <c r="Z33" s="24" t="s">
        <v>159</v>
      </c>
      <c r="AA33" s="24" t="str">
        <f>CONCATENATE(LEFT(Z33,4)," T ", RIGHT(LEFT(Z33,8),3),"x",RIGHT(LEFT(Z33,11),3))</f>
        <v>LOCK T 100x290</v>
      </c>
      <c r="AB33" s="235">
        <v>100</v>
      </c>
      <c r="AC33" s="235">
        <v>290</v>
      </c>
      <c r="AD33" s="21">
        <v>72</v>
      </c>
      <c r="AE33" s="21">
        <v>7</v>
      </c>
      <c r="AF33" s="42" t="s">
        <v>439</v>
      </c>
      <c r="AG33" s="21">
        <v>4</v>
      </c>
      <c r="AH33" s="174">
        <v>36</v>
      </c>
      <c r="AI33" s="93"/>
      <c r="AJ33" s="175">
        <v>305</v>
      </c>
      <c r="AK33" s="174">
        <v>124</v>
      </c>
      <c r="AL33" s="175">
        <v>290</v>
      </c>
      <c r="AM33" s="175">
        <v>130</v>
      </c>
      <c r="AN33" s="21">
        <v>290</v>
      </c>
      <c r="AO33" s="175">
        <v>22</v>
      </c>
      <c r="AP33" s="231" t="s">
        <v>396</v>
      </c>
      <c r="AQ33" s="69" t="s">
        <v>183</v>
      </c>
      <c r="AR33" s="70" t="str">
        <f t="shared" si="1"/>
        <v>KKF Ø 6 x 120</v>
      </c>
      <c r="AS33" s="71" t="s">
        <v>174</v>
      </c>
      <c r="AT33" s="72">
        <v>6</v>
      </c>
      <c r="AU33" s="72" t="s">
        <v>165</v>
      </c>
      <c r="AV33" s="72">
        <v>120</v>
      </c>
      <c r="AW33" s="73">
        <v>75</v>
      </c>
      <c r="AX33" s="79">
        <f t="shared" si="7"/>
        <v>0.15944881889763779</v>
      </c>
      <c r="AY33" s="73">
        <f t="shared" si="6"/>
        <v>6</v>
      </c>
      <c r="AZ33" s="73">
        <v>150000</v>
      </c>
      <c r="BA33" s="70" t="s">
        <v>233</v>
      </c>
      <c r="BB33" s="201">
        <v>0.16</v>
      </c>
      <c r="BC33" s="223"/>
      <c r="BD33" s="223"/>
      <c r="BE33" s="223"/>
      <c r="BF33" s="224"/>
      <c r="BG33" s="214" t="s">
        <v>174</v>
      </c>
      <c r="BH33" s="195"/>
      <c r="BI33" s="195"/>
      <c r="BJ33" s="195"/>
    </row>
    <row r="34" spans="1:62" ht="15" x14ac:dyDescent="0.25">
      <c r="A34" s="25" t="s">
        <v>80</v>
      </c>
      <c r="B34" s="169">
        <v>0.47</v>
      </c>
      <c r="D34" s="165" t="s">
        <v>50</v>
      </c>
      <c r="E34" s="2"/>
      <c r="F34" s="164">
        <f>(6100*F32^1.45)/(F19)^0.5</f>
        <v>5213.0405062785312</v>
      </c>
      <c r="G34" t="s">
        <v>195</v>
      </c>
      <c r="I34" s="33"/>
      <c r="J34" s="96"/>
      <c r="K34" s="96"/>
      <c r="L34" s="96"/>
      <c r="M34" s="96"/>
      <c r="N34" s="96"/>
      <c r="O34" s="96"/>
      <c r="P34" s="96"/>
      <c r="Q34" s="96"/>
      <c r="R34" s="96"/>
      <c r="S34" s="96"/>
      <c r="T34" s="96"/>
      <c r="U34" s="96"/>
      <c r="V34" s="33"/>
      <c r="Z34" s="24" t="s">
        <v>160</v>
      </c>
      <c r="AA34" s="24" t="str">
        <f>CONCATENATE(LEFT(Z34,4)," T ", RIGHT(LEFT(Z34,8),3),"x",RIGHT(LEFT(Z34,11),3))</f>
        <v>LOCK T 125x290</v>
      </c>
      <c r="AB34" s="235">
        <v>125</v>
      </c>
      <c r="AC34" s="235">
        <v>290</v>
      </c>
      <c r="AD34" s="21">
        <v>90</v>
      </c>
      <c r="AE34" s="21">
        <v>7</v>
      </c>
      <c r="AF34" s="42" t="s">
        <v>439</v>
      </c>
      <c r="AG34" s="21">
        <v>5</v>
      </c>
      <c r="AH34" s="174">
        <v>36</v>
      </c>
      <c r="AI34" s="93"/>
      <c r="AJ34" s="175">
        <v>305</v>
      </c>
      <c r="AK34" s="174">
        <v>149</v>
      </c>
      <c r="AL34" s="175">
        <v>290</v>
      </c>
      <c r="AM34" s="175">
        <v>155</v>
      </c>
      <c r="AN34" s="21">
        <v>290</v>
      </c>
      <c r="AO34" s="175">
        <v>22</v>
      </c>
      <c r="AP34" s="231" t="s">
        <v>396</v>
      </c>
      <c r="AQ34" s="74" t="s">
        <v>184</v>
      </c>
      <c r="AR34" s="75" t="str">
        <f t="shared" si="1"/>
        <v>HBS PLATE EVO Ø 5 x 50</v>
      </c>
      <c r="AS34" s="76" t="s">
        <v>185</v>
      </c>
      <c r="AT34" s="77">
        <v>5</v>
      </c>
      <c r="AU34" s="77" t="s">
        <v>165</v>
      </c>
      <c r="AV34" s="77">
        <v>50</v>
      </c>
      <c r="AW34" s="78">
        <v>30</v>
      </c>
      <c r="AX34" s="88">
        <f>3.4/25.4</f>
        <v>0.13385826771653545</v>
      </c>
      <c r="AY34" s="78">
        <f t="shared" si="6"/>
        <v>5</v>
      </c>
      <c r="AZ34" s="78">
        <v>220000</v>
      </c>
      <c r="BA34" s="75" t="s">
        <v>233</v>
      </c>
      <c r="BB34" s="202">
        <v>0.12</v>
      </c>
      <c r="BC34" s="220"/>
      <c r="BD34" s="220"/>
      <c r="BE34" s="220"/>
      <c r="BF34" s="221"/>
      <c r="BG34" s="211" t="s">
        <v>440</v>
      </c>
      <c r="BH34" s="195"/>
      <c r="BI34" s="195"/>
      <c r="BJ34" s="195"/>
    </row>
    <row r="35" spans="1:62" ht="15" x14ac:dyDescent="0.25">
      <c r="A35" s="25" t="s">
        <v>81</v>
      </c>
      <c r="B35" s="169">
        <v>0.42</v>
      </c>
      <c r="D35" s="165" t="s">
        <v>293</v>
      </c>
      <c r="E35" s="2"/>
      <c r="F35" s="164">
        <f>16600*F32^1.84</f>
        <v>4467.5443786522055</v>
      </c>
      <c r="G35" t="s">
        <v>294</v>
      </c>
      <c r="I35" s="33"/>
      <c r="J35" s="96"/>
      <c r="K35" s="96"/>
      <c r="L35" s="96"/>
      <c r="M35" s="96"/>
      <c r="N35" s="96"/>
      <c r="O35" s="96"/>
      <c r="P35" s="96"/>
      <c r="Q35" s="96"/>
      <c r="R35" s="96"/>
      <c r="S35" s="96"/>
      <c r="T35" s="96"/>
      <c r="U35" s="96"/>
      <c r="V35" s="96"/>
      <c r="Z35" s="233" t="s">
        <v>274</v>
      </c>
      <c r="AA35" s="24" t="str">
        <f>CONCATENATE(LEFT(Z35,4)," T ", RIGHT(LEFT(Z35,7),2),"x",RIGHT(LEFT(Z35,10),3)," + 35x100")</f>
        <v>LOCK T 35x100 + 35x100</v>
      </c>
      <c r="AB35" s="235">
        <v>70</v>
      </c>
      <c r="AC35" s="235">
        <v>100</v>
      </c>
      <c r="AD35" s="159">
        <v>24</v>
      </c>
      <c r="AE35" s="159">
        <v>5</v>
      </c>
      <c r="AF35" s="42" t="s">
        <v>438</v>
      </c>
      <c r="AG35" s="175">
        <v>4</v>
      </c>
      <c r="AH35" s="17">
        <v>4.3899999999999997</v>
      </c>
      <c r="AI35" s="160"/>
      <c r="AJ35" s="187">
        <v>115</v>
      </c>
      <c r="AK35" s="188">
        <v>88</v>
      </c>
      <c r="AL35" s="187">
        <v>100</v>
      </c>
      <c r="AM35" s="187">
        <v>96</v>
      </c>
      <c r="AN35" s="159">
        <v>100</v>
      </c>
      <c r="AO35" s="159">
        <v>20</v>
      </c>
      <c r="AP35" s="231" t="s">
        <v>395</v>
      </c>
      <c r="AQ35" s="64" t="s">
        <v>186</v>
      </c>
      <c r="AR35" s="65" t="str">
        <f t="shared" si="1"/>
        <v>HBS PLATE EVO Ø 5 x 60</v>
      </c>
      <c r="AS35" s="66" t="s">
        <v>185</v>
      </c>
      <c r="AT35" s="67">
        <v>5</v>
      </c>
      <c r="AU35" s="67" t="s">
        <v>165</v>
      </c>
      <c r="AV35" s="67">
        <v>60</v>
      </c>
      <c r="AW35" s="68">
        <v>35</v>
      </c>
      <c r="AX35" s="89">
        <f t="shared" ref="AX35:AX37" si="8">3.4/25.4</f>
        <v>0.13385826771653545</v>
      </c>
      <c r="AY35" s="68">
        <f t="shared" si="6"/>
        <v>5</v>
      </c>
      <c r="AZ35" s="68">
        <v>220000</v>
      </c>
      <c r="BA35" s="65" t="s">
        <v>233</v>
      </c>
      <c r="BB35" s="203">
        <v>0.12</v>
      </c>
      <c r="BC35" s="205"/>
      <c r="BD35" s="205"/>
      <c r="BE35" s="205"/>
      <c r="BF35" s="222"/>
      <c r="BG35" s="212" t="s">
        <v>440</v>
      </c>
      <c r="BH35" s="195"/>
      <c r="BI35" s="195"/>
      <c r="BJ35" s="195"/>
    </row>
    <row r="36" spans="1:62" ht="15" x14ac:dyDescent="0.25">
      <c r="A36" s="25" t="s">
        <v>82</v>
      </c>
      <c r="B36" s="169">
        <v>0.68</v>
      </c>
      <c r="D36" s="165" t="s">
        <v>48</v>
      </c>
      <c r="F36" s="164">
        <f>IF((F19&lt;0.25),F35,IF(F31=0,F33,F34))</f>
        <v>4467.5443786522055</v>
      </c>
      <c r="G36" t="s">
        <v>195</v>
      </c>
      <c r="I36" s="33"/>
      <c r="J36" s="96"/>
      <c r="K36" s="96"/>
      <c r="L36" s="96"/>
      <c r="M36" s="96"/>
      <c r="N36" s="96"/>
      <c r="O36" s="96"/>
      <c r="P36" s="96"/>
      <c r="Q36" s="96"/>
      <c r="R36" s="96"/>
      <c r="S36" s="96"/>
      <c r="T36" s="96"/>
      <c r="U36" s="96">
        <v>1</v>
      </c>
      <c r="V36" s="96"/>
      <c r="Z36" s="233" t="s">
        <v>275</v>
      </c>
      <c r="AA36" s="24" t="str">
        <f>CONCATENATE(LEFT(Z36,4)," T ", RIGHT(LEFT(Z36,7),2),"x",RIGHT(LEFT(Z36,10),3)," + 35x120")</f>
        <v>LOCK T 35x120 + 35x120</v>
      </c>
      <c r="AB36" s="235">
        <v>70</v>
      </c>
      <c r="AC36" s="235">
        <v>120</v>
      </c>
      <c r="AD36" s="159">
        <v>32</v>
      </c>
      <c r="AE36" s="159">
        <v>5</v>
      </c>
      <c r="AF36" s="42" t="s">
        <v>438</v>
      </c>
      <c r="AG36" s="175">
        <v>4</v>
      </c>
      <c r="AH36" s="17">
        <v>7.36</v>
      </c>
      <c r="AI36" s="160"/>
      <c r="AJ36" s="187">
        <v>135</v>
      </c>
      <c r="AK36" s="188">
        <v>88</v>
      </c>
      <c r="AL36" s="187">
        <v>120</v>
      </c>
      <c r="AM36" s="187">
        <v>96</v>
      </c>
      <c r="AN36" s="159">
        <v>120</v>
      </c>
      <c r="AO36" s="159">
        <v>20</v>
      </c>
      <c r="AP36" s="231" t="s">
        <v>395</v>
      </c>
      <c r="AQ36" s="64" t="s">
        <v>187</v>
      </c>
      <c r="AR36" s="65" t="str">
        <f t="shared" si="1"/>
        <v>HBS PLATE EVO Ø 5 x 70</v>
      </c>
      <c r="AS36" s="66" t="s">
        <v>185</v>
      </c>
      <c r="AT36" s="67">
        <v>5</v>
      </c>
      <c r="AU36" s="67" t="s">
        <v>165</v>
      </c>
      <c r="AV36" s="67">
        <v>70</v>
      </c>
      <c r="AW36" s="68">
        <v>40</v>
      </c>
      <c r="AX36" s="89">
        <f t="shared" si="8"/>
        <v>0.13385826771653545</v>
      </c>
      <c r="AY36" s="68">
        <f t="shared" si="6"/>
        <v>5</v>
      </c>
      <c r="AZ36" s="68">
        <v>220000</v>
      </c>
      <c r="BA36" s="65" t="s">
        <v>233</v>
      </c>
      <c r="BB36" s="203">
        <v>0.12</v>
      </c>
      <c r="BC36" s="205"/>
      <c r="BD36" s="205"/>
      <c r="BE36" s="205"/>
      <c r="BF36" s="222"/>
      <c r="BG36" s="212" t="s">
        <v>440</v>
      </c>
      <c r="BH36" s="195"/>
      <c r="BI36" s="195"/>
      <c r="BJ36" s="195"/>
    </row>
    <row r="37" spans="1:62" ht="15" thickBot="1" x14ac:dyDescent="0.25">
      <c r="A37" s="25" t="s">
        <v>83</v>
      </c>
      <c r="B37" s="169">
        <v>0.31</v>
      </c>
      <c r="I37" s="33"/>
      <c r="J37" s="96"/>
      <c r="K37" s="96"/>
      <c r="L37" s="96"/>
      <c r="M37" s="96"/>
      <c r="N37" s="96"/>
      <c r="O37" s="96"/>
      <c r="P37" s="96"/>
      <c r="Q37" s="96"/>
      <c r="R37" s="96"/>
      <c r="S37" s="96"/>
      <c r="T37" s="96"/>
      <c r="U37" s="96"/>
      <c r="V37" s="96"/>
      <c r="Z37" s="233" t="s">
        <v>276</v>
      </c>
      <c r="AA37" s="24" t="str">
        <f>CONCATENATE(LEFT(Z37,4)," T ", RIGHT(LEFT(Z37,7),2),"x",RIGHT(LEFT(Z37,10),3)," + 53x120")</f>
        <v>LOCK T 35x120 + 53x120</v>
      </c>
      <c r="AB37" s="235">
        <v>87.5</v>
      </c>
      <c r="AC37" s="235">
        <v>120</v>
      </c>
      <c r="AD37" s="159">
        <v>40</v>
      </c>
      <c r="AE37" s="159">
        <v>5</v>
      </c>
      <c r="AF37" s="42" t="s">
        <v>438</v>
      </c>
      <c r="AG37" s="175">
        <f>2+3</f>
        <v>5</v>
      </c>
      <c r="AH37" s="17">
        <v>7.36</v>
      </c>
      <c r="AI37" s="160"/>
      <c r="AJ37" s="187">
        <v>135</v>
      </c>
      <c r="AK37" s="188">
        <v>105</v>
      </c>
      <c r="AL37" s="187">
        <v>120</v>
      </c>
      <c r="AM37" s="187">
        <v>113</v>
      </c>
      <c r="AN37" s="159">
        <v>120</v>
      </c>
      <c r="AO37" s="159">
        <v>20</v>
      </c>
      <c r="AP37" s="231" t="s">
        <v>395</v>
      </c>
      <c r="AQ37" s="69" t="s">
        <v>188</v>
      </c>
      <c r="AR37" s="70" t="str">
        <f t="shared" si="1"/>
        <v>HBS PLATE EVO Ø 5 x 80</v>
      </c>
      <c r="AS37" s="71" t="s">
        <v>185</v>
      </c>
      <c r="AT37" s="72">
        <v>5</v>
      </c>
      <c r="AU37" s="72" t="s">
        <v>165</v>
      </c>
      <c r="AV37" s="72">
        <v>80</v>
      </c>
      <c r="AW37" s="73">
        <v>50</v>
      </c>
      <c r="AX37" s="79">
        <f t="shared" si="8"/>
        <v>0.13385826771653545</v>
      </c>
      <c r="AY37" s="73">
        <f t="shared" si="6"/>
        <v>5</v>
      </c>
      <c r="AZ37" s="73">
        <v>220000</v>
      </c>
      <c r="BA37" s="70" t="s">
        <v>233</v>
      </c>
      <c r="BB37" s="201">
        <v>0.12</v>
      </c>
      <c r="BC37" s="223"/>
      <c r="BD37" s="223"/>
      <c r="BE37" s="223"/>
      <c r="BF37" s="224"/>
      <c r="BG37" s="214" t="s">
        <v>440</v>
      </c>
      <c r="BH37" s="195"/>
      <c r="BI37" s="195"/>
      <c r="BJ37" s="195"/>
    </row>
    <row r="38" spans="1:62" ht="15" x14ac:dyDescent="0.25">
      <c r="A38" s="25" t="s">
        <v>84</v>
      </c>
      <c r="B38" s="169">
        <v>0.43</v>
      </c>
      <c r="D38" t="s">
        <v>295</v>
      </c>
      <c r="E38" s="2"/>
      <c r="F38" s="171">
        <f>2*38000/1.6</f>
        <v>47500</v>
      </c>
      <c r="G38" s="172" t="s">
        <v>269</v>
      </c>
      <c r="I38" s="33"/>
      <c r="J38" s="96"/>
      <c r="K38" s="250"/>
      <c r="L38" s="96"/>
      <c r="M38" s="96"/>
      <c r="N38" s="96"/>
      <c r="O38" s="96"/>
      <c r="P38" s="96"/>
      <c r="Q38" s="96"/>
      <c r="R38" s="96"/>
      <c r="S38" s="96"/>
      <c r="T38" s="96"/>
      <c r="U38" s="96"/>
      <c r="V38" s="96"/>
      <c r="Z38" s="233" t="s">
        <v>277</v>
      </c>
      <c r="AA38" s="24" t="str">
        <f>CONCATENATE(LEFT(Z38,4)," T ", RIGHT(LEFT(Z38,7),2),"x",RIGHT(LEFT(Z38,10),3)," + 50x135")</f>
        <v>LOCK T 50x135 + 50x135</v>
      </c>
      <c r="AB38" s="235">
        <v>100</v>
      </c>
      <c r="AC38" s="235">
        <v>135</v>
      </c>
      <c r="AD38" s="159">
        <v>24</v>
      </c>
      <c r="AE38" s="159">
        <v>7</v>
      </c>
      <c r="AF38" s="42" t="s">
        <v>439</v>
      </c>
      <c r="AG38" s="175">
        <v>4</v>
      </c>
      <c r="AH38" s="17">
        <v>5.3</v>
      </c>
      <c r="AI38" s="160"/>
      <c r="AJ38" s="187">
        <v>155</v>
      </c>
      <c r="AK38" s="188">
        <v>124</v>
      </c>
      <c r="AL38" s="187">
        <v>135</v>
      </c>
      <c r="AM38" s="187">
        <v>130</v>
      </c>
      <c r="AN38" s="159">
        <v>140</v>
      </c>
      <c r="AO38" s="159">
        <v>22</v>
      </c>
      <c r="AP38" s="231" t="s">
        <v>396</v>
      </c>
      <c r="AQ38" s="59" t="s">
        <v>189</v>
      </c>
      <c r="AR38" s="60" t="str">
        <f>AS38&amp;" Ø "&amp;AT38&amp;" x "&amp;AV38</f>
        <v>HBS PLATE EVO Ø 6 x 80</v>
      </c>
      <c r="AS38" s="61" t="s">
        <v>185</v>
      </c>
      <c r="AT38" s="62">
        <v>6</v>
      </c>
      <c r="AU38" s="62" t="s">
        <v>165</v>
      </c>
      <c r="AV38" s="62">
        <v>80</v>
      </c>
      <c r="AW38" s="63">
        <v>50</v>
      </c>
      <c r="AX38" s="215">
        <f>3.95/25.4</f>
        <v>0.15551181102362208</v>
      </c>
      <c r="AY38" s="63">
        <f t="shared" si="6"/>
        <v>6</v>
      </c>
      <c r="AZ38" s="63">
        <v>200000</v>
      </c>
      <c r="BA38" s="63"/>
      <c r="BB38" s="200">
        <v>0.16</v>
      </c>
      <c r="BC38" s="206">
        <v>77</v>
      </c>
      <c r="BD38" s="206">
        <v>89</v>
      </c>
      <c r="BE38" s="206">
        <v>131</v>
      </c>
      <c r="BF38" s="225">
        <v>143</v>
      </c>
      <c r="BG38" s="225" t="s">
        <v>440</v>
      </c>
      <c r="BH38" s="195"/>
      <c r="BI38" s="195"/>
      <c r="BJ38" s="195"/>
    </row>
    <row r="39" spans="1:62" ht="15.75" thickBot="1" x14ac:dyDescent="0.3">
      <c r="A39" s="25" t="s">
        <v>85</v>
      </c>
      <c r="B39" s="169">
        <v>0.57999999999999996</v>
      </c>
      <c r="I39" s="33"/>
      <c r="J39" s="192" t="s">
        <v>243</v>
      </c>
      <c r="K39" s="250"/>
      <c r="L39" s="96"/>
      <c r="M39" s="96"/>
      <c r="N39" s="96"/>
      <c r="O39" s="96"/>
      <c r="P39" s="96"/>
      <c r="Q39" s="96"/>
      <c r="R39" s="96"/>
      <c r="S39" s="96"/>
      <c r="T39" s="96"/>
      <c r="U39" s="96"/>
      <c r="V39" s="96"/>
      <c r="W39" s="33" t="s">
        <v>366</v>
      </c>
      <c r="Z39" s="233" t="s">
        <v>278</v>
      </c>
      <c r="AA39" s="24" t="str">
        <f>CONCATENATE(LEFT(Z39,4)," T ", RIGHT(LEFT(Z39,7),2),"x",RIGHT(LEFT(Z39,10),3)," + 50x175")</f>
        <v>LOCK T 50x175 + 50x175</v>
      </c>
      <c r="AB39" s="235">
        <v>100</v>
      </c>
      <c r="AC39" s="235">
        <v>175</v>
      </c>
      <c r="AD39" s="159">
        <v>32</v>
      </c>
      <c r="AE39" s="159">
        <v>7</v>
      </c>
      <c r="AF39" s="42" t="s">
        <v>439</v>
      </c>
      <c r="AG39" s="175">
        <v>4</v>
      </c>
      <c r="AH39" s="17">
        <v>10</v>
      </c>
      <c r="AI39" s="160"/>
      <c r="AJ39" s="187">
        <v>190</v>
      </c>
      <c r="AK39" s="188">
        <v>124</v>
      </c>
      <c r="AL39" s="187">
        <v>175</v>
      </c>
      <c r="AM39" s="187">
        <v>130</v>
      </c>
      <c r="AN39" s="159">
        <v>175</v>
      </c>
      <c r="AO39" s="159">
        <v>22</v>
      </c>
      <c r="AP39" s="231" t="s">
        <v>396</v>
      </c>
      <c r="AQ39" s="69" t="s">
        <v>190</v>
      </c>
      <c r="AR39" s="70" t="str">
        <f>AS39&amp;" Ø "&amp;AT39&amp;" x "&amp;AV39</f>
        <v>HBS PLATE EVO Ø 6 x 90</v>
      </c>
      <c r="AS39" s="71" t="s">
        <v>185</v>
      </c>
      <c r="AT39" s="72">
        <v>6</v>
      </c>
      <c r="AU39" s="72" t="s">
        <v>165</v>
      </c>
      <c r="AV39" s="72">
        <v>90</v>
      </c>
      <c r="AW39" s="73">
        <v>55</v>
      </c>
      <c r="AX39" s="79">
        <f>3.95/25.4</f>
        <v>0.15551181102362208</v>
      </c>
      <c r="AY39" s="73">
        <f t="shared" si="6"/>
        <v>6</v>
      </c>
      <c r="AZ39" s="73">
        <v>200000</v>
      </c>
      <c r="BA39" s="73"/>
      <c r="BB39" s="201">
        <v>0.16</v>
      </c>
      <c r="BC39" s="213">
        <v>77</v>
      </c>
      <c r="BD39" s="213">
        <v>89</v>
      </c>
      <c r="BE39" s="213">
        <v>131</v>
      </c>
      <c r="BF39" s="214">
        <v>143</v>
      </c>
      <c r="BG39" s="214" t="s">
        <v>440</v>
      </c>
      <c r="BH39" s="195"/>
      <c r="BI39" s="195"/>
      <c r="BJ39" s="195"/>
    </row>
    <row r="40" spans="1:62" ht="15" x14ac:dyDescent="0.25">
      <c r="A40" s="25" t="s">
        <v>86</v>
      </c>
      <c r="B40" s="169">
        <v>0.67</v>
      </c>
      <c r="D40" s="165" t="s">
        <v>41</v>
      </c>
      <c r="F40" s="16">
        <f>F36/F38</f>
        <v>9.4053565866362224E-2</v>
      </c>
      <c r="I40" s="33"/>
      <c r="J40" s="192"/>
      <c r="K40" s="250"/>
      <c r="L40" s="96"/>
      <c r="M40" s="96"/>
      <c r="N40" s="96"/>
      <c r="O40" s="96"/>
      <c r="P40" s="96"/>
      <c r="Q40" s="96"/>
      <c r="R40" s="96"/>
      <c r="S40" s="96"/>
      <c r="T40" s="96"/>
      <c r="U40" s="96"/>
      <c r="V40" s="96"/>
      <c r="W40" s="33" t="s">
        <v>367</v>
      </c>
      <c r="Z40" s="233" t="s">
        <v>279</v>
      </c>
      <c r="AA40" s="24" t="str">
        <f>CONCATENATE(LEFT(Z40,4)," T ", RIGHT(LEFT(Z40,7),2),"x",RIGHT(LEFT(Z40,10),3)," + 75x175")</f>
        <v>LOCK T 50x175 + 75x175</v>
      </c>
      <c r="AB40" s="235">
        <v>125</v>
      </c>
      <c r="AC40" s="235">
        <v>175</v>
      </c>
      <c r="AD40" s="159">
        <v>40</v>
      </c>
      <c r="AE40" s="159">
        <v>7</v>
      </c>
      <c r="AF40" s="42" t="s">
        <v>439</v>
      </c>
      <c r="AG40" s="175">
        <f>2+3</f>
        <v>5</v>
      </c>
      <c r="AH40" s="17">
        <v>10</v>
      </c>
      <c r="AI40" s="160"/>
      <c r="AJ40" s="187">
        <v>190</v>
      </c>
      <c r="AK40" s="188">
        <v>149</v>
      </c>
      <c r="AL40" s="187">
        <v>175</v>
      </c>
      <c r="AM40" s="187">
        <v>155</v>
      </c>
      <c r="AN40" s="159">
        <v>175</v>
      </c>
      <c r="AO40" s="159">
        <v>22</v>
      </c>
      <c r="AP40" s="231" t="s">
        <v>396</v>
      </c>
    </row>
    <row r="41" spans="1:62" ht="14.25" x14ac:dyDescent="0.2">
      <c r="A41" s="25" t="s">
        <v>87</v>
      </c>
      <c r="B41" s="169">
        <v>0.44</v>
      </c>
      <c r="I41" s="33"/>
      <c r="J41" s="192" t="s">
        <v>365</v>
      </c>
      <c r="K41" s="250"/>
      <c r="L41" s="96"/>
      <c r="M41" s="96"/>
      <c r="N41" s="96"/>
      <c r="O41" s="96"/>
      <c r="P41" s="96"/>
      <c r="Q41" s="96"/>
      <c r="R41" s="96"/>
      <c r="S41" s="96"/>
      <c r="T41" s="96"/>
      <c r="U41" s="96"/>
      <c r="V41" s="96"/>
      <c r="Z41" s="233" t="s">
        <v>280</v>
      </c>
      <c r="AA41" s="24" t="str">
        <f>CONCATENATE(LEFT(Z41,4)," T ", RIGHT(LEFT(Z41,7),2),"x",RIGHT(LEFT(Z41,10),3)," + 75x215")</f>
        <v>LOCK T 75x215 + 75x215</v>
      </c>
      <c r="AB41" s="235">
        <v>150</v>
      </c>
      <c r="AC41" s="235">
        <v>215</v>
      </c>
      <c r="AD41" s="159">
        <v>72</v>
      </c>
      <c r="AE41" s="159">
        <v>7</v>
      </c>
      <c r="AF41" s="42" t="s">
        <v>439</v>
      </c>
      <c r="AG41" s="175">
        <v>6</v>
      </c>
      <c r="AH41" s="17">
        <v>17.2</v>
      </c>
      <c r="AI41" s="160"/>
      <c r="AJ41" s="187">
        <v>230</v>
      </c>
      <c r="AK41" s="188">
        <v>174</v>
      </c>
      <c r="AL41" s="187">
        <v>215</v>
      </c>
      <c r="AM41" s="187">
        <v>180</v>
      </c>
      <c r="AN41" s="159">
        <v>215</v>
      </c>
      <c r="AO41" s="159">
        <v>22</v>
      </c>
      <c r="AP41" s="231" t="s">
        <v>396</v>
      </c>
      <c r="AY41" t="s">
        <v>305</v>
      </c>
    </row>
    <row r="42" spans="1:62" ht="16.5" x14ac:dyDescent="0.25">
      <c r="A42" s="25" t="s">
        <v>88</v>
      </c>
      <c r="B42" s="169">
        <v>0.44</v>
      </c>
      <c r="D42" s="173" t="s">
        <v>296</v>
      </c>
      <c r="F42" s="166">
        <f>M160-F44-(VLOOKUP(L153,AR16:AY39,8,FALSE)/2)</f>
        <v>51.294799999999995</v>
      </c>
      <c r="G42" t="s">
        <v>163</v>
      </c>
      <c r="H42" t="s">
        <v>323</v>
      </c>
      <c r="I42" s="33"/>
      <c r="J42" s="251"/>
      <c r="K42" s="96"/>
      <c r="L42" s="252" t="s">
        <v>211</v>
      </c>
      <c r="M42" s="252" t="s">
        <v>497</v>
      </c>
      <c r="N42" s="96"/>
      <c r="O42" s="96"/>
      <c r="P42" s="96"/>
      <c r="Q42" s="96"/>
      <c r="R42" s="96"/>
      <c r="S42" s="96"/>
      <c r="T42" s="96"/>
      <c r="U42" s="96"/>
      <c r="V42" s="96"/>
      <c r="X42" s="24" t="s">
        <v>451</v>
      </c>
      <c r="Z42" s="233" t="s">
        <v>281</v>
      </c>
      <c r="AA42" s="24" t="str">
        <f>CONCATENATE(LEFT(Z42,4)," T ", RIGHT(LEFT(Z42,7),2),"x",RIGHT(LEFT(Z42,10),3)," + 100x215")</f>
        <v>LOCK T 75x215 + 100x215</v>
      </c>
      <c r="AB42" s="235">
        <v>175</v>
      </c>
      <c r="AC42" s="235">
        <v>215</v>
      </c>
      <c r="AD42" s="159">
        <v>84</v>
      </c>
      <c r="AE42" s="159">
        <v>7</v>
      </c>
      <c r="AF42" s="42" t="s">
        <v>439</v>
      </c>
      <c r="AG42" s="175">
        <f>3+4</f>
        <v>7</v>
      </c>
      <c r="AH42" s="17">
        <v>17.2</v>
      </c>
      <c r="AI42" s="160"/>
      <c r="AJ42" s="187">
        <v>230</v>
      </c>
      <c r="AK42" s="187">
        <v>199</v>
      </c>
      <c r="AL42" s="187">
        <v>215</v>
      </c>
      <c r="AM42" s="187">
        <v>205</v>
      </c>
      <c r="AN42" s="159">
        <v>215</v>
      </c>
      <c r="AO42" s="159">
        <v>22</v>
      </c>
      <c r="AP42" s="231" t="s">
        <v>396</v>
      </c>
      <c r="AY42" t="s">
        <v>197</v>
      </c>
    </row>
    <row r="43" spans="1:62" ht="14.25" customHeight="1" x14ac:dyDescent="0.2">
      <c r="A43" s="25" t="s">
        <v>89</v>
      </c>
      <c r="B43" s="169">
        <v>0.43</v>
      </c>
      <c r="F43" s="167">
        <f>F42/25.4</f>
        <v>2.0194803149606297</v>
      </c>
      <c r="G43" t="s">
        <v>193</v>
      </c>
      <c r="I43" s="33"/>
      <c r="J43" s="253" t="s">
        <v>247</v>
      </c>
      <c r="K43" s="96"/>
      <c r="L43" s="254">
        <v>20</v>
      </c>
      <c r="M43" s="255">
        <f>L43*0.04788026</f>
        <v>0.95760520000000005</v>
      </c>
      <c r="N43" s="256" t="s">
        <v>450</v>
      </c>
      <c r="O43" s="249"/>
      <c r="P43" s="96"/>
      <c r="Q43" s="96"/>
      <c r="R43" s="96"/>
      <c r="S43" s="96"/>
      <c r="T43" s="96"/>
      <c r="U43" s="96"/>
      <c r="V43" s="96"/>
      <c r="X43" s="236" t="str">
        <f>IF(AND(L68&lt;&gt;0,R68&lt;&gt;0),"NO BEAM", "BEAM")</f>
        <v>BEAM</v>
      </c>
      <c r="AB43" s="2"/>
      <c r="AC43" s="2"/>
      <c r="AD43" s="157"/>
      <c r="AF43" s="43"/>
      <c r="AG43" s="43"/>
      <c r="AH43" s="158"/>
      <c r="AI43" s="43"/>
      <c r="AJ43" s="158"/>
      <c r="AK43" s="158"/>
    </row>
    <row r="44" spans="1:62" ht="14.25" customHeight="1" x14ac:dyDescent="0.25">
      <c r="A44" s="25" t="s">
        <v>90</v>
      </c>
      <c r="B44" s="169">
        <v>0.55000000000000004</v>
      </c>
      <c r="D44" s="173" t="s">
        <v>297</v>
      </c>
      <c r="F44" s="168">
        <v>5.2</v>
      </c>
      <c r="G44" t="s">
        <v>163</v>
      </c>
      <c r="H44" s="182" t="s">
        <v>372</v>
      </c>
      <c r="I44" s="33"/>
      <c r="J44" s="96" t="s">
        <v>246</v>
      </c>
      <c r="K44" s="96"/>
      <c r="L44" s="254">
        <v>40</v>
      </c>
      <c r="M44" s="255">
        <f>L44*0.04788026</f>
        <v>1.9152104000000001</v>
      </c>
      <c r="N44" s="256" t="s">
        <v>248</v>
      </c>
      <c r="O44" s="96"/>
      <c r="P44" s="96"/>
      <c r="Q44" s="96"/>
      <c r="R44" s="96"/>
      <c r="S44" s="96"/>
      <c r="T44" s="96"/>
      <c r="U44" s="96"/>
      <c r="V44" s="96"/>
      <c r="AB44" s="2"/>
      <c r="AC44" s="2"/>
      <c r="AD44" s="157"/>
      <c r="AF44" s="43"/>
      <c r="AG44" s="43"/>
      <c r="AH44" s="158"/>
      <c r="AI44" s="43"/>
      <c r="AJ44" s="158"/>
      <c r="AK44" s="158"/>
    </row>
    <row r="45" spans="1:62" ht="14.25" customHeight="1" x14ac:dyDescent="0.2">
      <c r="A45" s="25" t="s">
        <v>44</v>
      </c>
      <c r="B45" s="169">
        <v>0.42</v>
      </c>
      <c r="F45" s="167">
        <f>F44/25.4</f>
        <v>0.20472440944881892</v>
      </c>
      <c r="G45" t="s">
        <v>193</v>
      </c>
      <c r="I45" s="33"/>
      <c r="J45" s="96" t="s">
        <v>244</v>
      </c>
      <c r="K45" s="96"/>
      <c r="L45" s="254"/>
      <c r="M45" s="255">
        <f>L45*0.04788026</f>
        <v>0</v>
      </c>
      <c r="N45" s="96"/>
      <c r="O45" s="96"/>
      <c r="P45" s="96"/>
      <c r="Q45" s="96"/>
      <c r="R45" s="96"/>
      <c r="S45" s="96"/>
      <c r="T45" s="96"/>
      <c r="U45" s="96"/>
      <c r="V45" s="96"/>
      <c r="AA45" s="26" t="s">
        <v>394</v>
      </c>
      <c r="AB45" s="2"/>
      <c r="AC45" s="2"/>
      <c r="AD45" s="157"/>
      <c r="AF45" s="43"/>
      <c r="AG45" s="43"/>
      <c r="AH45" s="158"/>
      <c r="AI45" s="43"/>
      <c r="AJ45" s="158"/>
      <c r="AK45" s="158"/>
      <c r="AP45" s="27"/>
    </row>
    <row r="46" spans="1:62" ht="14.25" customHeight="1" x14ac:dyDescent="0.2">
      <c r="A46" s="25" t="s">
        <v>91</v>
      </c>
      <c r="B46" s="169">
        <v>0.36</v>
      </c>
      <c r="I46" s="33"/>
      <c r="J46" s="96" t="s">
        <v>245</v>
      </c>
      <c r="K46" s="96"/>
      <c r="L46" s="254">
        <v>0</v>
      </c>
      <c r="M46" s="255">
        <f t="shared" ref="M46" si="9">L46*0.04788026</f>
        <v>0</v>
      </c>
      <c r="N46" s="96"/>
      <c r="O46" s="96"/>
      <c r="P46" s="96"/>
      <c r="Q46" s="96"/>
      <c r="R46" s="96"/>
      <c r="S46" s="96"/>
      <c r="T46" s="96"/>
      <c r="U46" s="96"/>
      <c r="V46" s="96"/>
      <c r="AB46" s="2"/>
      <c r="AC46" s="2"/>
      <c r="AD46" s="157"/>
      <c r="AF46" s="43"/>
      <c r="AG46" s="43"/>
      <c r="AH46" s="158"/>
      <c r="AI46" s="43"/>
      <c r="AJ46" s="158"/>
      <c r="AK46" s="158"/>
    </row>
    <row r="47" spans="1:62" ht="15" x14ac:dyDescent="0.25">
      <c r="A47" s="25" t="s">
        <v>92</v>
      </c>
      <c r="B47" s="169">
        <v>0.36</v>
      </c>
      <c r="D47" s="165" t="s">
        <v>45</v>
      </c>
      <c r="F47" s="16">
        <f>F43/F45</f>
        <v>9.8643846153846138</v>
      </c>
      <c r="G47" s="163"/>
      <c r="I47" s="33"/>
      <c r="J47" s="96"/>
      <c r="K47" s="96"/>
      <c r="L47" s="96"/>
      <c r="M47" s="255"/>
      <c r="N47" s="96"/>
      <c r="O47" s="96"/>
      <c r="P47" s="96"/>
      <c r="Q47" s="96"/>
      <c r="R47" s="96"/>
      <c r="S47" s="96"/>
      <c r="T47" s="96"/>
      <c r="U47" s="96"/>
      <c r="V47" s="96"/>
      <c r="AB47" s="2"/>
      <c r="AC47" s="2"/>
      <c r="AD47" s="157"/>
      <c r="AF47" s="43"/>
      <c r="AG47" s="43"/>
      <c r="AH47" s="158"/>
      <c r="AI47" s="43"/>
      <c r="AJ47" s="158"/>
      <c r="AK47" s="158"/>
    </row>
    <row r="48" spans="1:62" ht="15" x14ac:dyDescent="0.2">
      <c r="A48" s="25" t="s">
        <v>93</v>
      </c>
      <c r="B48" s="169">
        <v>0.35</v>
      </c>
      <c r="I48" s="33"/>
      <c r="J48" s="39"/>
      <c r="K48" s="96"/>
      <c r="L48" s="252" t="s">
        <v>213</v>
      </c>
      <c r="M48" s="252" t="s">
        <v>212</v>
      </c>
      <c r="N48" s="96"/>
      <c r="O48" s="96"/>
      <c r="P48" s="96"/>
      <c r="Q48" s="249"/>
      <c r="R48" s="96"/>
      <c r="S48" s="96"/>
      <c r="T48" s="96"/>
      <c r="U48" s="96"/>
      <c r="V48" s="96"/>
      <c r="AB48" s="2"/>
      <c r="AC48" s="2"/>
      <c r="AD48" s="157"/>
      <c r="AF48" s="43"/>
      <c r="AG48" s="43"/>
      <c r="AH48" s="158"/>
      <c r="AI48" s="43"/>
      <c r="AJ48" s="158"/>
      <c r="AK48" s="158"/>
      <c r="AP48" s="247" t="s">
        <v>435</v>
      </c>
    </row>
    <row r="49" spans="1:56" ht="14.25" customHeight="1" x14ac:dyDescent="0.25">
      <c r="A49" s="25" t="s">
        <v>94</v>
      </c>
      <c r="B49" s="169">
        <v>0.47</v>
      </c>
      <c r="D49" s="165" t="s">
        <v>28</v>
      </c>
      <c r="F49" s="161">
        <f>(SQRT(F40+2*F40^2*(1+F47+F47^2)+F47^2*F40^3)-F40*(1+F47))/(1+F40)</f>
        <v>0.38702608503446695</v>
      </c>
      <c r="I49" s="33"/>
      <c r="J49" s="253" t="s">
        <v>327</v>
      </c>
      <c r="K49" s="96"/>
      <c r="L49" s="282">
        <v>10</v>
      </c>
      <c r="M49" s="255">
        <f>L49/3.28084</f>
        <v>3.047999902464003</v>
      </c>
      <c r="N49" s="257" t="s">
        <v>454</v>
      </c>
      <c r="O49" s="249"/>
      <c r="P49" s="96"/>
      <c r="Q49" s="96"/>
      <c r="R49" s="96"/>
      <c r="S49" s="96"/>
      <c r="T49" s="96"/>
      <c r="U49" s="96"/>
      <c r="V49" s="96"/>
      <c r="AB49" s="2"/>
      <c r="AC49" s="2"/>
      <c r="AD49" s="157"/>
      <c r="AF49" s="43"/>
      <c r="AG49" s="43"/>
      <c r="AH49" s="158"/>
      <c r="AI49" s="43"/>
      <c r="AJ49" s="158"/>
      <c r="AK49" s="158"/>
      <c r="AQ49" t="s">
        <v>436</v>
      </c>
      <c r="AR49" t="s">
        <v>437</v>
      </c>
      <c r="AS49" t="s">
        <v>513</v>
      </c>
    </row>
    <row r="50" spans="1:56" ht="14.25" customHeight="1" x14ac:dyDescent="0.2">
      <c r="A50" s="25" t="s">
        <v>95</v>
      </c>
      <c r="B50" s="169">
        <v>0.46</v>
      </c>
      <c r="I50" s="33"/>
      <c r="J50" s="253" t="s">
        <v>331</v>
      </c>
      <c r="K50" s="96"/>
      <c r="L50" s="282">
        <v>4</v>
      </c>
      <c r="M50" s="255">
        <f>L50/3.28084</f>
        <v>1.2191999609856012</v>
      </c>
      <c r="N50" s="257"/>
      <c r="O50" s="256"/>
      <c r="P50" s="96"/>
      <c r="Q50" s="96"/>
      <c r="R50" s="96"/>
      <c r="S50" s="96"/>
      <c r="T50" s="96"/>
      <c r="U50" s="96"/>
      <c r="V50" s="96"/>
      <c r="AB50" s="2"/>
      <c r="AC50" s="2"/>
      <c r="AD50" s="157"/>
      <c r="AF50" s="43"/>
      <c r="AG50" s="43"/>
      <c r="AH50" s="158"/>
      <c r="AI50" s="43"/>
      <c r="AJ50" s="158"/>
      <c r="AK50" s="158"/>
      <c r="AO50" s="24" t="s">
        <v>0</v>
      </c>
      <c r="AP50" s="24" t="str">
        <f>CONCATENATE(LEFT(AO50,4)," T ", RIGHT(LEFT(AO50,7),2),"x",RIGHT(LEFT(AO50,9),2))</f>
        <v>LOCK T 18x80</v>
      </c>
      <c r="AQ50" s="236" t="s">
        <v>0</v>
      </c>
      <c r="AR50" s="236" t="s">
        <v>404</v>
      </c>
      <c r="AS50" s="371" t="s">
        <v>514</v>
      </c>
    </row>
    <row r="51" spans="1:56" ht="15" x14ac:dyDescent="0.25">
      <c r="A51" s="25" t="s">
        <v>96</v>
      </c>
      <c r="B51" s="169">
        <v>0.4</v>
      </c>
      <c r="D51" s="165" t="s">
        <v>35</v>
      </c>
      <c r="F51" s="161">
        <f>-1+(SQRT(2*(1+F40)+((2*F20*(1+2*F40)*F19^2)/(3*F36*F43^2))))</f>
        <v>0.56138305267193811</v>
      </c>
      <c r="I51" s="33"/>
      <c r="J51" s="39"/>
      <c r="K51" s="96"/>
      <c r="L51" s="96"/>
      <c r="M51" s="96"/>
      <c r="N51" s="258"/>
      <c r="O51" s="96"/>
      <c r="P51" s="96"/>
      <c r="Q51" s="96"/>
      <c r="R51" s="96"/>
      <c r="S51" s="96"/>
      <c r="T51" s="96"/>
      <c r="U51" s="96"/>
      <c r="V51" s="33"/>
      <c r="AB51" s="2"/>
      <c r="AC51" s="2"/>
      <c r="AD51" s="157"/>
      <c r="AF51" s="43"/>
      <c r="AG51" s="43"/>
      <c r="AH51" s="158"/>
      <c r="AI51" s="43"/>
      <c r="AJ51" s="158"/>
      <c r="AK51" s="158"/>
      <c r="AO51" s="24" t="s">
        <v>12</v>
      </c>
      <c r="AP51" s="24" t="str">
        <f>CONCATENATE(LEFT(AO51,4)," T ", RIGHT(LEFT(AO51,7),2),"x",RIGHT(LEFT(AO51,9),2))</f>
        <v>LOCK T 35x80</v>
      </c>
      <c r="AQ51" s="236" t="s">
        <v>12</v>
      </c>
      <c r="AR51" s="236" t="s">
        <v>422</v>
      </c>
      <c r="AS51" s="371" t="s">
        <v>514</v>
      </c>
    </row>
    <row r="52" spans="1:56" ht="14.25" x14ac:dyDescent="0.2">
      <c r="A52" s="25" t="s">
        <v>97</v>
      </c>
      <c r="B52" s="169">
        <v>0.36</v>
      </c>
      <c r="D52" s="165"/>
      <c r="F52" s="2"/>
      <c r="I52" s="33"/>
      <c r="J52" s="259" t="s">
        <v>393</v>
      </c>
      <c r="K52" s="260"/>
      <c r="L52" s="260"/>
      <c r="M52" s="260"/>
      <c r="N52" s="261"/>
      <c r="O52" s="260"/>
      <c r="P52" s="260"/>
      <c r="Q52" s="260"/>
      <c r="R52" s="260"/>
      <c r="S52" s="260"/>
      <c r="T52" s="260"/>
      <c r="U52" s="260"/>
      <c r="V52" s="33"/>
      <c r="W52" s="97"/>
      <c r="X52" s="97"/>
      <c r="Y52" s="97"/>
      <c r="Z52" s="97"/>
      <c r="AA52" s="97"/>
      <c r="AB52" s="97"/>
      <c r="AC52" s="97"/>
      <c r="AD52" s="97"/>
      <c r="AE52" s="97"/>
      <c r="AG52" t="s">
        <v>206</v>
      </c>
      <c r="AO52" s="24" t="s">
        <v>13</v>
      </c>
      <c r="AP52" s="24" t="str">
        <f t="shared" ref="AP52:AP58" si="10">CONCATENATE(LEFT(AO52,4)," T ", RIGHT(LEFT(AO52,7),2),"x",RIGHT(LEFT(AO52,10),3))</f>
        <v>LOCK T 35x100</v>
      </c>
      <c r="AQ52" s="236" t="s">
        <v>13</v>
      </c>
      <c r="AR52" s="236" t="s">
        <v>405</v>
      </c>
      <c r="AS52" s="371" t="s">
        <v>514</v>
      </c>
    </row>
    <row r="53" spans="1:56" ht="15.75" thickBot="1" x14ac:dyDescent="0.3">
      <c r="A53" s="25" t="s">
        <v>98</v>
      </c>
      <c r="B53" s="169">
        <v>0.73</v>
      </c>
      <c r="D53" s="165" t="s">
        <v>38</v>
      </c>
      <c r="F53" s="161">
        <f>-1+(SQRT((2*(1+F40))/F40+((2*F20*(2+F40)*F19^2)/(3*F36*F45^2))))</f>
        <v>7.1306624261570857</v>
      </c>
      <c r="G53" s="23"/>
      <c r="I53" s="33"/>
      <c r="J53" s="39"/>
      <c r="K53" s="96"/>
      <c r="L53" s="96"/>
      <c r="M53" s="96"/>
      <c r="N53" s="258"/>
      <c r="O53" s="96"/>
      <c r="P53" s="96"/>
      <c r="Q53" s="96"/>
      <c r="R53" s="96"/>
      <c r="S53" s="96"/>
      <c r="T53" s="96"/>
      <c r="U53" s="96"/>
      <c r="V53" s="33"/>
      <c r="W53" s="97"/>
      <c r="X53" s="97"/>
      <c r="Y53" s="97"/>
      <c r="Z53" s="97"/>
      <c r="AA53" s="97"/>
      <c r="AB53" s="97"/>
      <c r="AC53" s="97"/>
      <c r="AD53" s="97"/>
      <c r="AE53" s="97"/>
      <c r="AG53" t="s">
        <v>207</v>
      </c>
      <c r="AO53" s="24" t="s">
        <v>14</v>
      </c>
      <c r="AP53" s="24" t="str">
        <f t="shared" si="10"/>
        <v>LOCK T 35x120</v>
      </c>
      <c r="AQ53" s="236" t="s">
        <v>14</v>
      </c>
      <c r="AR53" s="236" t="s">
        <v>409</v>
      </c>
      <c r="AS53" s="371" t="s">
        <v>515</v>
      </c>
    </row>
    <row r="54" spans="1:56" ht="18" customHeight="1" x14ac:dyDescent="0.35">
      <c r="D54" s="165"/>
      <c r="G54" s="23"/>
      <c r="I54" s="33"/>
      <c r="J54" s="192" t="s">
        <v>251</v>
      </c>
      <c r="K54" s="96"/>
      <c r="L54" s="96"/>
      <c r="M54" s="96"/>
      <c r="N54" s="258"/>
      <c r="O54" s="192" t="s">
        <v>252</v>
      </c>
      <c r="P54" s="96"/>
      <c r="Q54" s="96"/>
      <c r="R54" s="96"/>
      <c r="S54" s="96"/>
      <c r="T54" s="96"/>
      <c r="U54" s="96"/>
      <c r="V54" s="33"/>
      <c r="W54" s="129" t="s">
        <v>253</v>
      </c>
      <c r="X54" s="106"/>
      <c r="Y54" s="106" t="s">
        <v>226</v>
      </c>
      <c r="Z54" s="106"/>
      <c r="AA54" s="107"/>
      <c r="AB54" s="108" t="s">
        <v>216</v>
      </c>
      <c r="AC54" s="108" t="s">
        <v>224</v>
      </c>
      <c r="AD54" s="109" t="s">
        <v>225</v>
      </c>
      <c r="AE54" s="99"/>
      <c r="AO54" s="24" t="s">
        <v>15</v>
      </c>
      <c r="AP54" s="24" t="str">
        <f t="shared" si="10"/>
        <v>LOCK T 53x120</v>
      </c>
      <c r="AQ54" s="236" t="s">
        <v>15</v>
      </c>
      <c r="AR54" s="236" t="s">
        <v>406</v>
      </c>
      <c r="AS54" s="371" t="s">
        <v>515</v>
      </c>
    </row>
    <row r="55" spans="1:56" ht="15.75" customHeight="1" x14ac:dyDescent="0.25">
      <c r="D55" s="18" t="s">
        <v>29</v>
      </c>
      <c r="E55" s="18" t="s">
        <v>30</v>
      </c>
      <c r="F55" s="18" t="s">
        <v>31</v>
      </c>
      <c r="G55" s="18" t="s">
        <v>32</v>
      </c>
      <c r="H55" s="51" t="s">
        <v>33</v>
      </c>
      <c r="I55" s="33"/>
      <c r="J55" s="96" t="s">
        <v>356</v>
      </c>
      <c r="K55" s="96"/>
      <c r="L55" s="255" t="str">
        <f>INDEX(AB55:AB59,MATCH("Governing combination",AE55:AE59,0))</f>
        <v>D+L</v>
      </c>
      <c r="M55" s="39"/>
      <c r="N55" s="258"/>
      <c r="O55" s="253" t="s">
        <v>356</v>
      </c>
      <c r="P55" s="253"/>
      <c r="Q55" s="96"/>
      <c r="R55" s="262" t="str">
        <f>INDEX(AA63:AA67,MATCH("Governing combination",AE63:AE67,0))</f>
        <v>1.2D+1.6L+0.5S</v>
      </c>
      <c r="S55" s="96"/>
      <c r="T55" s="96"/>
      <c r="U55" s="96"/>
      <c r="V55" s="33"/>
      <c r="W55" s="118" t="s">
        <v>22</v>
      </c>
      <c r="X55" s="119">
        <f>L43*L50+L114</f>
        <v>92.54593890421576</v>
      </c>
      <c r="Y55" s="100" t="s">
        <v>223</v>
      </c>
      <c r="Z55" s="100"/>
      <c r="AA55" s="98"/>
      <c r="AB55" s="120" t="s">
        <v>22</v>
      </c>
      <c r="AC55" s="120">
        <v>0.9</v>
      </c>
      <c r="AD55" s="110">
        <f>X55/AC55</f>
        <v>102.82882100468417</v>
      </c>
      <c r="AE55" s="99" t="str">
        <f>IF($AD$60=AD55, "Governing combination","")</f>
        <v/>
      </c>
      <c r="AH55" s="24" t="s">
        <v>208</v>
      </c>
      <c r="AK55" t="s">
        <v>242</v>
      </c>
      <c r="AO55" s="24" t="s">
        <v>16</v>
      </c>
      <c r="AP55" s="24" t="str">
        <f t="shared" si="10"/>
        <v>LOCK T 50x135</v>
      </c>
      <c r="AQ55" s="236" t="s">
        <v>16</v>
      </c>
      <c r="AR55" s="236" t="s">
        <v>407</v>
      </c>
      <c r="AS55" s="371" t="s">
        <v>515</v>
      </c>
    </row>
    <row r="56" spans="1:56" ht="17.25" x14ac:dyDescent="0.3">
      <c r="D56" s="19" t="s">
        <v>34</v>
      </c>
      <c r="E56" s="176">
        <f>(F19*F43*F36)/F26</f>
        <v>559.93772258292313</v>
      </c>
      <c r="F56" s="17">
        <f>E56*4.448221615255/1000</f>
        <v>2.4907270807900161</v>
      </c>
      <c r="G56" s="176">
        <f>E56</f>
        <v>559.93772258292313</v>
      </c>
      <c r="H56" s="17">
        <f>G56*4.448221615255/1000</f>
        <v>2.4907270807900161</v>
      </c>
      <c r="I56" s="33"/>
      <c r="J56" s="263" t="s">
        <v>498</v>
      </c>
      <c r="K56" s="96"/>
      <c r="L56" s="255">
        <f>INDEX(AC55:AC59,MATCH("Governing combination",AE55:AE59,0))</f>
        <v>1</v>
      </c>
      <c r="M56" s="39"/>
      <c r="N56" s="258"/>
      <c r="O56" s="253" t="s">
        <v>357</v>
      </c>
      <c r="P56" s="264"/>
      <c r="Q56" s="96"/>
      <c r="R56" s="265">
        <f>INDEX(AC63:AC67,MATCH("Governing combination",AE63:AE67,0))</f>
        <v>0.8</v>
      </c>
      <c r="S56" s="96"/>
      <c r="T56" s="96"/>
      <c r="U56" s="96"/>
      <c r="V56" s="33"/>
      <c r="W56" s="118" t="s">
        <v>217</v>
      </c>
      <c r="X56" s="119">
        <f>X55+L44*L50</f>
        <v>252.54593890421575</v>
      </c>
      <c r="Y56" s="100" t="s">
        <v>223</v>
      </c>
      <c r="Z56" s="100"/>
      <c r="AA56" s="98"/>
      <c r="AB56" s="120" t="s">
        <v>217</v>
      </c>
      <c r="AC56" s="121">
        <v>1</v>
      </c>
      <c r="AD56" s="110">
        <f>X56/AC56</f>
        <v>252.54593890421575</v>
      </c>
      <c r="AE56" s="99" t="str">
        <f t="shared" ref="AE56:AE58" si="11">IF($AD$60=AD56, "Governing combination","")</f>
        <v>Governing combination</v>
      </c>
      <c r="AH56" s="24" t="s">
        <v>209</v>
      </c>
      <c r="AJ56" t="s">
        <v>304</v>
      </c>
      <c r="AK56" s="28">
        <f>(VLOOKUP(L140,AR16:BB39,11,FALSE))</f>
        <v>0.16</v>
      </c>
      <c r="AO56" s="24" t="s">
        <v>17</v>
      </c>
      <c r="AP56" s="24" t="str">
        <f t="shared" si="10"/>
        <v>LOCK T 50x175</v>
      </c>
      <c r="AQ56" s="236" t="s">
        <v>17</v>
      </c>
      <c r="AR56" s="236" t="s">
        <v>410</v>
      </c>
      <c r="AS56" s="371" t="s">
        <v>516</v>
      </c>
      <c r="AT56" s="3"/>
    </row>
    <row r="57" spans="1:56" ht="15" x14ac:dyDescent="0.25">
      <c r="D57" s="19" t="s">
        <v>36</v>
      </c>
      <c r="E57" s="176">
        <f>(F19*F45*F38)/F26</f>
        <v>603.52388686840152</v>
      </c>
      <c r="F57" s="17">
        <f>E57*4.448221615255/1000</f>
        <v>2.684607998890737</v>
      </c>
      <c r="G57" s="176">
        <f>2*F19*F45*F38/F26</f>
        <v>1207.047773736803</v>
      </c>
      <c r="H57" s="17">
        <f>G57*4.448221615255/1000</f>
        <v>5.369215997781474</v>
      </c>
      <c r="I57" s="33"/>
      <c r="J57" s="39"/>
      <c r="K57" s="96"/>
      <c r="L57" s="96"/>
      <c r="M57" s="96"/>
      <c r="N57" s="258"/>
      <c r="O57" s="266"/>
      <c r="P57" s="96"/>
      <c r="Q57" s="96"/>
      <c r="R57" s="96"/>
      <c r="S57" s="96"/>
      <c r="T57" s="96"/>
      <c r="U57" s="96"/>
      <c r="V57" s="33"/>
      <c r="W57" s="118" t="s">
        <v>218</v>
      </c>
      <c r="X57" s="119">
        <f>X55+L45*L50</f>
        <v>92.54593890421576</v>
      </c>
      <c r="Y57" s="100" t="s">
        <v>223</v>
      </c>
      <c r="Z57" s="100">
        <f>AH58</f>
        <v>0</v>
      </c>
      <c r="AA57" s="98"/>
      <c r="AB57" s="120" t="s">
        <v>218</v>
      </c>
      <c r="AC57" s="120">
        <v>1.1499999999999999</v>
      </c>
      <c r="AD57" s="110">
        <f>X57/AC57</f>
        <v>80.474729481926758</v>
      </c>
      <c r="AE57" s="99" t="str">
        <f t="shared" si="11"/>
        <v/>
      </c>
      <c r="AH57" s="24" t="s">
        <v>210</v>
      </c>
      <c r="AJ57" t="s">
        <v>338</v>
      </c>
      <c r="AK57">
        <f>(VLOOKUP(L153,AR16:BB39,11,FALSE))</f>
        <v>0.16</v>
      </c>
      <c r="AO57" s="24" t="s">
        <v>18</v>
      </c>
      <c r="AP57" s="24" t="str">
        <f t="shared" si="10"/>
        <v>LOCK T 75x175</v>
      </c>
      <c r="AQ57" s="236" t="s">
        <v>18</v>
      </c>
      <c r="AR57" s="236" t="s">
        <v>408</v>
      </c>
      <c r="AS57" s="371" t="s">
        <v>517</v>
      </c>
      <c r="AT57" s="2"/>
    </row>
    <row r="58" spans="1:56" ht="15" x14ac:dyDescent="0.25">
      <c r="D58" s="19" t="s">
        <v>37</v>
      </c>
      <c r="E58" s="176">
        <f>F49*F19*F45*F38/F27</f>
        <v>233.57948715946199</v>
      </c>
      <c r="F58" s="17">
        <f t="shared" ref="F58:F61" si="12">E58*4.448221615255/1000</f>
        <v>1.0390133236628964</v>
      </c>
      <c r="G58" s="176"/>
      <c r="H58" s="17"/>
      <c r="I58" s="33"/>
      <c r="J58" s="39"/>
      <c r="K58" s="96"/>
      <c r="L58" s="255" t="s">
        <v>222</v>
      </c>
      <c r="M58" s="255" t="s">
        <v>241</v>
      </c>
      <c r="N58" s="258"/>
      <c r="O58" s="127"/>
      <c r="P58" s="96"/>
      <c r="Q58" s="96"/>
      <c r="R58" s="255" t="s">
        <v>222</v>
      </c>
      <c r="S58" s="255" t="s">
        <v>241</v>
      </c>
      <c r="T58" s="96"/>
      <c r="U58" s="96"/>
      <c r="V58" s="33"/>
      <c r="W58" s="118" t="s">
        <v>221</v>
      </c>
      <c r="X58" s="119">
        <f>X55+L46*L50</f>
        <v>92.54593890421576</v>
      </c>
      <c r="Y58" s="100" t="s">
        <v>223</v>
      </c>
      <c r="Z58" s="100"/>
      <c r="AA58" s="98"/>
      <c r="AB58" s="122" t="s">
        <v>221</v>
      </c>
      <c r="AC58" s="120">
        <v>1.25</v>
      </c>
      <c r="AD58" s="110">
        <f>X58/AC58</f>
        <v>74.036751123372611</v>
      </c>
      <c r="AE58" s="99" t="str">
        <f t="shared" si="11"/>
        <v/>
      </c>
      <c r="AO58" s="24" t="s">
        <v>19</v>
      </c>
      <c r="AP58" s="24" t="str">
        <f t="shared" si="10"/>
        <v>LOCK T 75x215</v>
      </c>
      <c r="AQ58" s="236" t="s">
        <v>19</v>
      </c>
      <c r="AR58" s="236" t="s">
        <v>411</v>
      </c>
      <c r="AS58" s="371" t="s">
        <v>517</v>
      </c>
      <c r="AT58" s="2"/>
    </row>
    <row r="59" spans="1:56" ht="15" x14ac:dyDescent="0.25">
      <c r="D59" s="19" t="s">
        <v>39</v>
      </c>
      <c r="E59" s="176">
        <f>(F51*F19*F43*F36)/((1+2*F40)*F28)</f>
        <v>264.57172052434726</v>
      </c>
      <c r="F59" s="17">
        <f t="shared" si="12"/>
        <v>1.1768736460216065</v>
      </c>
      <c r="G59" s="176"/>
      <c r="H59" s="17"/>
      <c r="I59" s="33"/>
      <c r="J59" s="253" t="s">
        <v>359</v>
      </c>
      <c r="K59" s="96"/>
      <c r="L59" s="267">
        <f>INDEX(X55:X59,MATCH("Governing combination",AE55:AE59,0))</f>
        <v>252.54593890421575</v>
      </c>
      <c r="M59" s="255">
        <f>L59*0.0145938992</f>
        <v>3.6856299757374829</v>
      </c>
      <c r="N59" s="258"/>
      <c r="O59" s="253" t="s">
        <v>360</v>
      </c>
      <c r="P59" s="96"/>
      <c r="Q59" s="96"/>
      <c r="R59" s="267">
        <f>INDEX(AB63:AB67,MATCH("Governing combination",AE63:AE67,0))</f>
        <v>367.05512668505889</v>
      </c>
      <c r="S59" s="255">
        <f>R59*0.0145938992</f>
        <v>5.3567655196849797</v>
      </c>
      <c r="T59" s="96"/>
      <c r="U59" s="96"/>
      <c r="V59" s="33"/>
      <c r="W59" s="123" t="s">
        <v>219</v>
      </c>
      <c r="X59" s="128">
        <f>X55+(0.75*L44*L50)+(0.75*L45*L50)</f>
        <v>212.54593890421575</v>
      </c>
      <c r="Y59" s="100" t="s">
        <v>223</v>
      </c>
      <c r="Z59" s="100"/>
      <c r="AA59" s="98"/>
      <c r="AB59" s="101" t="s">
        <v>219</v>
      </c>
      <c r="AC59" s="101">
        <v>1.1499999999999999</v>
      </c>
      <c r="AD59" s="111">
        <f>X59/AC59</f>
        <v>184.82255556888327</v>
      </c>
      <c r="AE59" s="99" t="str">
        <f>IF($AD$60=AD59, "Governing combination","")</f>
        <v/>
      </c>
      <c r="AH59" s="24" t="s">
        <v>389</v>
      </c>
      <c r="AO59" s="24" t="s">
        <v>20</v>
      </c>
      <c r="AP59" s="24" t="str">
        <f>CONCATENATE(LEFT(AO59,4)," T ", RIGHT(LEFT(AO59,8),3),"x",RIGHT(LEFT(AO59,11),3))</f>
        <v>LOCK T 100x215</v>
      </c>
      <c r="AQ59" s="236" t="s">
        <v>20</v>
      </c>
      <c r="AR59" s="236" t="s">
        <v>412</v>
      </c>
      <c r="AS59" s="371" t="s">
        <v>518</v>
      </c>
      <c r="AT59" s="2"/>
    </row>
    <row r="60" spans="1:56" ht="15.75" thickBot="1" x14ac:dyDescent="0.3">
      <c r="D60" s="19" t="s">
        <v>40</v>
      </c>
      <c r="E60" s="176">
        <f>(F53*F19*F45*F36)/((2+F40)*F28)</f>
        <v>193.29108307738457</v>
      </c>
      <c r="F60" s="17">
        <f t="shared" si="12"/>
        <v>0.85980157378087196</v>
      </c>
      <c r="G60" s="176">
        <f>(2*F53*F19*F45*F36)/((2+F40)*F28)</f>
        <v>386.58216615476914</v>
      </c>
      <c r="H60" s="17">
        <f>G60*4.448221615255/1000</f>
        <v>1.7196031475617439</v>
      </c>
      <c r="I60" s="33"/>
      <c r="J60" s="39"/>
      <c r="K60" s="268"/>
      <c r="L60" s="249"/>
      <c r="M60" s="39"/>
      <c r="N60" s="258"/>
      <c r="O60" s="192"/>
      <c r="P60" s="96"/>
      <c r="Q60" s="96"/>
      <c r="R60" s="96"/>
      <c r="S60" s="96"/>
      <c r="T60" s="96"/>
      <c r="U60" s="96"/>
      <c r="V60" s="33"/>
      <c r="W60" s="124"/>
      <c r="X60" s="112"/>
      <c r="Y60" s="113"/>
      <c r="Z60" s="113"/>
      <c r="AA60" s="114"/>
      <c r="AB60" s="115"/>
      <c r="AC60" s="116" t="s">
        <v>220</v>
      </c>
      <c r="AD60" s="117">
        <f>MAX(AD55:AD59)</f>
        <v>252.54593890421575</v>
      </c>
      <c r="AE60" s="99"/>
      <c r="AH60" s="24" t="s">
        <v>391</v>
      </c>
      <c r="AO60" s="24" t="s">
        <v>153</v>
      </c>
      <c r="AP60" s="24" t="str">
        <f>CONCATENATE(LEFT(AO60,4)," T ", RIGHT(LEFT(AO60,7),2),"x",RIGHT(LEFT(AO60,10),3))</f>
        <v>LOCK T 75x240</v>
      </c>
      <c r="AQ60" s="236" t="s">
        <v>153</v>
      </c>
      <c r="AR60" s="236" t="s">
        <v>421</v>
      </c>
      <c r="AS60" s="371" t="s">
        <v>519</v>
      </c>
      <c r="AT60" s="227"/>
      <c r="AV60" s="26"/>
      <c r="AW60" s="26"/>
      <c r="AX60" s="26"/>
      <c r="AY60" s="26"/>
      <c r="AZ60" s="26"/>
      <c r="BA60" s="26"/>
      <c r="BB60" s="26"/>
      <c r="BC60" s="26"/>
      <c r="BD60" s="26"/>
    </row>
    <row r="61" spans="1:56" ht="15.75" thickBot="1" x14ac:dyDescent="0.3">
      <c r="D61" s="19" t="s">
        <v>42</v>
      </c>
      <c r="E61" s="176">
        <f>(F19^2/F28)*SQRT((2*F36*F20)/(3*(1+F40)))</f>
        <v>245.46945574159707</v>
      </c>
      <c r="F61" s="17">
        <f t="shared" si="12"/>
        <v>1.0919025389146528</v>
      </c>
      <c r="G61" s="176">
        <f>(2*F19^2/F28)*SQRT((2*F36*F20)/(3*(1+F40)))</f>
        <v>490.93891148319415</v>
      </c>
      <c r="H61" s="17">
        <f>G61*4.448221615255/1000</f>
        <v>2.1838050778293057</v>
      </c>
      <c r="I61" s="33"/>
      <c r="J61" s="39"/>
      <c r="K61" s="96"/>
      <c r="L61" s="255" t="s">
        <v>358</v>
      </c>
      <c r="M61" s="255" t="s">
        <v>66</v>
      </c>
      <c r="N61" s="258"/>
      <c r="O61" s="192"/>
      <c r="P61" s="96"/>
      <c r="Q61" s="96"/>
      <c r="R61" s="255" t="s">
        <v>358</v>
      </c>
      <c r="S61" s="255" t="s">
        <v>66</v>
      </c>
      <c r="T61" s="96"/>
      <c r="U61" s="96"/>
      <c r="V61" s="33"/>
      <c r="W61" s="102"/>
      <c r="X61" s="104"/>
      <c r="Y61" s="100"/>
      <c r="Z61" s="100"/>
      <c r="AA61" s="103"/>
      <c r="AB61" s="98"/>
      <c r="AC61" s="98"/>
      <c r="AD61" s="98"/>
      <c r="AE61" s="98"/>
      <c r="AH61" s="24" t="s">
        <v>392</v>
      </c>
      <c r="AO61" s="24" t="s">
        <v>152</v>
      </c>
      <c r="AP61" s="24" t="str">
        <f>CONCATENATE(LEFT(AO61,4)," T ", RIGHT(LEFT(AO61,8),3),"x",RIGHT(LEFT(AO61,11),3))</f>
        <v>LOCK T 100x240</v>
      </c>
      <c r="AQ61" s="236" t="s">
        <v>152</v>
      </c>
      <c r="AR61" s="236" t="s">
        <v>420</v>
      </c>
      <c r="AS61" s="371" t="s">
        <v>520</v>
      </c>
      <c r="AT61" s="189"/>
      <c r="AU61" s="26"/>
    </row>
    <row r="62" spans="1:56" ht="18.75" x14ac:dyDescent="0.45">
      <c r="E62" s="177"/>
      <c r="G62" s="177"/>
      <c r="I62" s="33"/>
      <c r="J62" s="253" t="s">
        <v>265</v>
      </c>
      <c r="K62" s="249"/>
      <c r="L62" s="269">
        <f>INDEX(X55:X59,MATCH("Governing combination",AE55:AE59,0))*L49/2</f>
        <v>1262.7296945210787</v>
      </c>
      <c r="M62" s="255">
        <f>L62*0.00444822</f>
        <v>5.6168994817625526</v>
      </c>
      <c r="N62" s="258"/>
      <c r="O62" s="253" t="s">
        <v>266</v>
      </c>
      <c r="P62" s="96"/>
      <c r="Q62" s="96"/>
      <c r="R62" s="267">
        <f>INDEX(AB63:AB67,MATCH("Governing combination",AE63:AE67,0))*L49/2</f>
        <v>1835.2756334252945</v>
      </c>
      <c r="S62" s="255">
        <f>R62*0.00444822</f>
        <v>8.1637097781150629</v>
      </c>
      <c r="T62" s="96"/>
      <c r="U62" s="96"/>
      <c r="V62" s="33"/>
      <c r="W62" s="135" t="s">
        <v>259</v>
      </c>
      <c r="X62" s="136"/>
      <c r="Y62" s="136"/>
      <c r="Z62" s="143"/>
      <c r="AA62" s="144"/>
      <c r="AB62" s="107"/>
      <c r="AC62" s="145" t="s">
        <v>263</v>
      </c>
      <c r="AD62" s="146" t="s">
        <v>264</v>
      </c>
      <c r="AE62" s="98"/>
      <c r="AH62" s="24" t="s">
        <v>390</v>
      </c>
      <c r="AO62" s="24" t="s">
        <v>154</v>
      </c>
      <c r="AP62" s="24" t="str">
        <f>CONCATENATE(LEFT(AO62,4)," T ", RIGHT(LEFT(AO62,8),3),"x",RIGHT(LEFT(AO62,11),3))</f>
        <v>LOCK T 125x240</v>
      </c>
      <c r="AQ62" s="236" t="s">
        <v>154</v>
      </c>
      <c r="AR62" s="236" t="s">
        <v>419</v>
      </c>
      <c r="AS62" s="371" t="s">
        <v>520</v>
      </c>
      <c r="AT62" s="189"/>
      <c r="AU62" s="26"/>
      <c r="AV62" s="27"/>
      <c r="AW62" s="27"/>
      <c r="AX62" s="27"/>
      <c r="AY62" s="27"/>
      <c r="AZ62" s="27"/>
      <c r="BA62" s="27"/>
      <c r="BB62" s="27"/>
      <c r="BC62" s="27"/>
      <c r="BD62" s="27"/>
    </row>
    <row r="63" spans="1:56" ht="15" x14ac:dyDescent="0.25">
      <c r="D63" s="20" t="s">
        <v>46</v>
      </c>
      <c r="E63" s="176">
        <f>MIN(E56:E61)</f>
        <v>193.29108307738457</v>
      </c>
      <c r="F63" s="17">
        <f>MIN(F56:F61)</f>
        <v>0.85980157378087196</v>
      </c>
      <c r="G63" s="176">
        <f>MIN(G56:G61)</f>
        <v>386.58216615476914</v>
      </c>
      <c r="H63" s="17">
        <f>MIN(H56:H61)</f>
        <v>1.7196031475617439</v>
      </c>
      <c r="I63" s="33"/>
      <c r="J63" s="96"/>
      <c r="K63" s="96"/>
      <c r="L63" s="96"/>
      <c r="M63" s="96"/>
      <c r="N63" s="96"/>
      <c r="O63" s="96"/>
      <c r="P63" s="96"/>
      <c r="Q63" s="96"/>
      <c r="R63" s="96"/>
      <c r="S63" s="96"/>
      <c r="T63" s="96"/>
      <c r="U63" s="96"/>
      <c r="V63" s="33"/>
      <c r="W63" s="137" t="s">
        <v>22</v>
      </c>
      <c r="X63" s="147">
        <f>(L43*L50)+L114</f>
        <v>92.54593890421576</v>
      </c>
      <c r="Y63" s="148" t="s">
        <v>223</v>
      </c>
      <c r="Z63" s="100"/>
      <c r="AA63" s="142" t="s">
        <v>254</v>
      </c>
      <c r="AB63" s="147">
        <f>1.4*X63</f>
        <v>129.56431446590204</v>
      </c>
      <c r="AC63" s="149">
        <v>0.6</v>
      </c>
      <c r="AD63" s="150">
        <f>AB63/AC63</f>
        <v>215.94052410983676</v>
      </c>
      <c r="AE63" s="99" t="str">
        <f>IF($AD$68=AD63, "Governing combination","")</f>
        <v/>
      </c>
      <c r="AO63" s="24" t="s">
        <v>155</v>
      </c>
      <c r="AP63" s="24" t="str">
        <f>CONCATENATE(LEFT(AO63,4)," T ", RIGHT(LEFT(AO63,7),2),"x",RIGHT(LEFT(AO63,10),3))</f>
        <v>LOCK T 75x265</v>
      </c>
      <c r="AQ63" s="236" t="s">
        <v>155</v>
      </c>
      <c r="AR63" s="236" t="s">
        <v>418</v>
      </c>
      <c r="AS63" s="371" t="s">
        <v>519</v>
      </c>
    </row>
    <row r="64" spans="1:56" ht="15" x14ac:dyDescent="0.25">
      <c r="I64" s="33"/>
      <c r="J64" s="259" t="s">
        <v>462</v>
      </c>
      <c r="K64" s="260"/>
      <c r="L64" s="260"/>
      <c r="M64" s="260"/>
      <c r="N64" s="260"/>
      <c r="O64" s="260"/>
      <c r="P64" s="260"/>
      <c r="Q64" s="260"/>
      <c r="R64" s="260"/>
      <c r="S64" s="260"/>
      <c r="T64" s="260"/>
      <c r="U64" s="260"/>
      <c r="V64" s="33"/>
      <c r="W64" s="137" t="s">
        <v>260</v>
      </c>
      <c r="X64" s="147">
        <f>L44*L50</f>
        <v>160</v>
      </c>
      <c r="Y64" s="148" t="s">
        <v>223</v>
      </c>
      <c r="Z64" s="100"/>
      <c r="AA64" s="142" t="s">
        <v>255</v>
      </c>
      <c r="AB64" s="147">
        <f>1.2*X63+1.6*X64+0.5*X65</f>
        <v>367.05512668505889</v>
      </c>
      <c r="AC64" s="149">
        <v>0.8</v>
      </c>
      <c r="AD64" s="150">
        <f t="shared" ref="AD64:AD67" si="13">AB64/AC64</f>
        <v>458.81890835632362</v>
      </c>
      <c r="AE64" s="99" t="str">
        <f t="shared" ref="AE64:AE67" si="14">IF($AD$68=AD64, "Governing combination","")</f>
        <v>Governing combination</v>
      </c>
      <c r="AH64" s="24" t="s">
        <v>210</v>
      </c>
      <c r="AO64" s="24" t="s">
        <v>156</v>
      </c>
      <c r="AP64" s="24" t="str">
        <f>CONCATENATE(LEFT(AO64,4)," T ", RIGHT(LEFT(AO64,8),3),"x",RIGHT(LEFT(AO64,11),3))</f>
        <v>LOCK T 100x265</v>
      </c>
      <c r="AQ64" s="236" t="s">
        <v>156</v>
      </c>
      <c r="AR64" s="236" t="s">
        <v>417</v>
      </c>
      <c r="AS64" s="371" t="s">
        <v>520</v>
      </c>
    </row>
    <row r="65" spans="4:45" ht="15" x14ac:dyDescent="0.25">
      <c r="I65" s="33"/>
      <c r="J65" s="127"/>
      <c r="K65" s="96"/>
      <c r="L65" s="96"/>
      <c r="M65" s="96"/>
      <c r="N65" s="96"/>
      <c r="O65" s="96"/>
      <c r="P65" s="96"/>
      <c r="Q65" s="96"/>
      <c r="R65" s="96"/>
      <c r="S65" s="96"/>
      <c r="T65" s="96"/>
      <c r="U65" s="96"/>
      <c r="V65" s="33"/>
      <c r="W65" s="137" t="s">
        <v>261</v>
      </c>
      <c r="X65" s="147">
        <f>L45*L50</f>
        <v>0</v>
      </c>
      <c r="Y65" s="148" t="s">
        <v>223</v>
      </c>
      <c r="Z65" s="100"/>
      <c r="AA65" s="142" t="s">
        <v>256</v>
      </c>
      <c r="AB65" s="147">
        <f>1.2*X63+1.6*X64+0.5*X66</f>
        <v>367.05512668505889</v>
      </c>
      <c r="AC65" s="149">
        <v>0.8</v>
      </c>
      <c r="AD65" s="150">
        <f t="shared" si="13"/>
        <v>458.81890835632362</v>
      </c>
      <c r="AE65" s="99" t="str">
        <f t="shared" si="14"/>
        <v>Governing combination</v>
      </c>
      <c r="AH65" s="24" t="s">
        <v>209</v>
      </c>
      <c r="AO65" s="24" t="s">
        <v>157</v>
      </c>
      <c r="AP65" s="24" t="str">
        <f>CONCATENATE(LEFT(AO65,4)," T ", RIGHT(LEFT(AO65,8),3),"x",RIGHT(LEFT(AO65,11),3))</f>
        <v>LOCK T 125x265</v>
      </c>
      <c r="AQ65" s="236" t="s">
        <v>157</v>
      </c>
      <c r="AR65" s="236" t="s">
        <v>416</v>
      </c>
      <c r="AS65" s="371" t="s">
        <v>520</v>
      </c>
    </row>
    <row r="66" spans="4:45" ht="15" x14ac:dyDescent="0.25">
      <c r="D66" s="1" t="s">
        <v>303</v>
      </c>
      <c r="I66" s="33"/>
      <c r="J66" s="192" t="s">
        <v>251</v>
      </c>
      <c r="K66" s="96"/>
      <c r="L66" s="96"/>
      <c r="M66" s="96"/>
      <c r="N66" s="96"/>
      <c r="O66" s="192" t="s">
        <v>252</v>
      </c>
      <c r="P66" s="96"/>
      <c r="Q66" s="96"/>
      <c r="R66" s="96"/>
      <c r="S66" s="96"/>
      <c r="T66" s="96"/>
      <c r="U66" s="96"/>
      <c r="V66" s="33"/>
      <c r="W66" s="137" t="s">
        <v>262</v>
      </c>
      <c r="X66" s="147">
        <f>L46*L50</f>
        <v>0</v>
      </c>
      <c r="Y66" s="148" t="s">
        <v>223</v>
      </c>
      <c r="Z66" s="100"/>
      <c r="AA66" s="142" t="s">
        <v>257</v>
      </c>
      <c r="AB66" s="147">
        <f>1.2*X63+1.6*X65+X64</f>
        <v>271.05512668505889</v>
      </c>
      <c r="AC66" s="149">
        <v>0.8</v>
      </c>
      <c r="AD66" s="150">
        <f t="shared" si="13"/>
        <v>338.81890835632362</v>
      </c>
      <c r="AE66" s="99" t="str">
        <f t="shared" si="14"/>
        <v/>
      </c>
      <c r="AO66" s="24" t="s">
        <v>158</v>
      </c>
      <c r="AP66" s="24" t="str">
        <f>CONCATENATE(LEFT(AO66,4)," T ", RIGHT(LEFT(AO66,7),2),"x",RIGHT(LEFT(AO66,10),3))</f>
        <v>LOCK T 75x290</v>
      </c>
      <c r="AQ66" s="236" t="s">
        <v>158</v>
      </c>
      <c r="AR66" s="236" t="s">
        <v>415</v>
      </c>
      <c r="AS66" s="371" t="s">
        <v>519</v>
      </c>
    </row>
    <row r="67" spans="4:45" ht="15" x14ac:dyDescent="0.25">
      <c r="D67" t="s">
        <v>306</v>
      </c>
      <c r="F67" s="2" t="str">
        <f>L140</f>
        <v>LBS Ø 7 x 60</v>
      </c>
      <c r="I67" s="33"/>
      <c r="J67" s="39"/>
      <c r="K67" s="96"/>
      <c r="L67" s="270" t="s">
        <v>358</v>
      </c>
      <c r="M67" s="270" t="s">
        <v>66</v>
      </c>
      <c r="N67" s="96"/>
      <c r="O67" s="96"/>
      <c r="P67" s="96"/>
      <c r="Q67" s="96"/>
      <c r="R67" s="270" t="s">
        <v>358</v>
      </c>
      <c r="S67" s="270" t="s">
        <v>66</v>
      </c>
      <c r="T67" s="96"/>
      <c r="U67" s="96"/>
      <c r="V67" s="33"/>
      <c r="W67" s="138"/>
      <c r="X67" s="128"/>
      <c r="Y67" s="152"/>
      <c r="Z67" s="153"/>
      <c r="AA67" s="154" t="s">
        <v>258</v>
      </c>
      <c r="AB67" s="128">
        <f>1.2*X63+1.6*X66+X64</f>
        <v>271.05512668505889</v>
      </c>
      <c r="AC67" s="155">
        <v>0.8</v>
      </c>
      <c r="AD67" s="156">
        <f t="shared" si="13"/>
        <v>338.81890835632362</v>
      </c>
      <c r="AE67" s="99" t="str">
        <f t="shared" si="14"/>
        <v/>
      </c>
      <c r="AO67" s="24" t="s">
        <v>159</v>
      </c>
      <c r="AP67" s="24" t="str">
        <f>CONCATENATE(LEFT(AO67,4)," T ", RIGHT(LEFT(AO67,8),3),"x",RIGHT(LEFT(AO67,11),3))</f>
        <v>LOCK T 100x290</v>
      </c>
      <c r="AQ67" s="236" t="s">
        <v>159</v>
      </c>
      <c r="AR67" s="236" t="s">
        <v>414</v>
      </c>
      <c r="AS67" s="371" t="s">
        <v>520</v>
      </c>
    </row>
    <row r="68" spans="4:45" ht="15.75" thickBot="1" x14ac:dyDescent="0.3">
      <c r="D68" t="s">
        <v>285</v>
      </c>
      <c r="F68" s="161">
        <f>L145</f>
        <v>0.27559055118110237</v>
      </c>
      <c r="G68" t="s">
        <v>193</v>
      </c>
      <c r="I68" s="33"/>
      <c r="J68" s="253" t="s">
        <v>265</v>
      </c>
      <c r="K68" s="96"/>
      <c r="L68" s="254"/>
      <c r="M68" s="255">
        <f>L68*0.00444822</f>
        <v>0</v>
      </c>
      <c r="N68" s="96"/>
      <c r="O68" s="253" t="s">
        <v>266</v>
      </c>
      <c r="P68" s="96"/>
      <c r="Q68" s="96"/>
      <c r="R68" s="254"/>
      <c r="S68" s="255">
        <f>R68*0.00444822</f>
        <v>0</v>
      </c>
      <c r="T68" s="96"/>
      <c r="U68" s="96"/>
      <c r="V68" s="33"/>
      <c r="W68" s="139"/>
      <c r="X68" s="140"/>
      <c r="Y68" s="141"/>
      <c r="Z68" s="113"/>
      <c r="AA68" s="114"/>
      <c r="AB68" s="151"/>
      <c r="AC68" s="116" t="s">
        <v>220</v>
      </c>
      <c r="AD68" s="117">
        <f>MAX(AD63:AD67)</f>
        <v>458.81890835632362</v>
      </c>
      <c r="AE68" s="98"/>
      <c r="AO68" s="24" t="s">
        <v>160</v>
      </c>
      <c r="AP68" s="24" t="str">
        <f>CONCATENATE(LEFT(AO68,4)," T ", RIGHT(LEFT(AO68,8),3),"x",RIGHT(LEFT(AO68,11),3))</f>
        <v>LOCK T 125x290</v>
      </c>
      <c r="AQ68" s="236" t="s">
        <v>160</v>
      </c>
      <c r="AR68" s="236" t="s">
        <v>413</v>
      </c>
      <c r="AS68" s="371" t="s">
        <v>520</v>
      </c>
    </row>
    <row r="69" spans="4:45" ht="15" customHeight="1" thickBot="1" x14ac:dyDescent="0.3">
      <c r="D69" t="s">
        <v>284</v>
      </c>
      <c r="F69" s="2">
        <f>(VLOOKUP(L140,AR16:AX39,7,FALSE))</f>
        <v>0.17299999999999999</v>
      </c>
      <c r="G69" t="s">
        <v>193</v>
      </c>
      <c r="I69" s="33"/>
      <c r="J69" s="39"/>
      <c r="K69" s="255"/>
      <c r="L69" s="255"/>
      <c r="M69" s="249"/>
      <c r="N69" s="96"/>
      <c r="O69" s="96"/>
      <c r="P69" s="96"/>
      <c r="Q69" s="96"/>
      <c r="R69" s="96"/>
      <c r="S69" s="96"/>
      <c r="T69" s="96"/>
      <c r="U69" s="96"/>
      <c r="V69" s="33"/>
      <c r="W69" s="102"/>
      <c r="X69" s="104"/>
      <c r="Y69" s="100"/>
      <c r="Z69" s="100"/>
      <c r="AA69" s="103"/>
      <c r="AB69" s="98"/>
      <c r="AC69" s="98"/>
      <c r="AD69" s="98"/>
      <c r="AE69" s="98"/>
      <c r="AO69" s="233" t="s">
        <v>274</v>
      </c>
      <c r="AP69" s="24" t="str">
        <f>CONCATENATE(LEFT(AO69,4)," T ", RIGHT(LEFT(AO69,7),2),"x",RIGHT(LEFT(AO69,10),3)," + 35x100")</f>
        <v>LOCK T 35x100 + 35x100</v>
      </c>
      <c r="AQ69" s="237" t="s">
        <v>442</v>
      </c>
      <c r="AR69" s="236" t="s">
        <v>405</v>
      </c>
      <c r="AS69" s="371" t="s">
        <v>514</v>
      </c>
    </row>
    <row r="70" spans="4:45" ht="15" x14ac:dyDescent="0.25">
      <c r="D70" t="s">
        <v>286</v>
      </c>
      <c r="F70" s="164">
        <f>(VLOOKUP(L140,AR16:AZ39,9,FALSE))</f>
        <v>192000</v>
      </c>
      <c r="G70" t="s">
        <v>195</v>
      </c>
      <c r="I70" s="33"/>
      <c r="J70" s="455" t="s">
        <v>463</v>
      </c>
      <c r="K70" s="456"/>
      <c r="L70" s="456"/>
      <c r="M70" s="271" t="s">
        <v>358</v>
      </c>
      <c r="N70" s="96"/>
      <c r="O70" s="435" t="s">
        <v>464</v>
      </c>
      <c r="P70" s="436"/>
      <c r="Q70" s="436"/>
      <c r="R70" s="436"/>
      <c r="S70" s="271" t="s">
        <v>358</v>
      </c>
      <c r="T70" s="96"/>
      <c r="U70" s="96"/>
      <c r="V70" s="33"/>
      <c r="W70" s="102"/>
      <c r="X70" s="104"/>
      <c r="Y70" s="100"/>
      <c r="Z70" s="100"/>
      <c r="AA70" s="103"/>
      <c r="AB70" s="98"/>
      <c r="AC70" s="98"/>
      <c r="AD70" s="98"/>
      <c r="AE70" s="98"/>
      <c r="AO70" s="233" t="s">
        <v>275</v>
      </c>
      <c r="AP70" s="24" t="str">
        <f>CONCATENATE(LEFT(AO70,4)," T ", RIGHT(LEFT(AO70,7),2),"x",RIGHT(LEFT(AO70,10),3)," + 35x120")</f>
        <v>LOCK T 35x120 + 35x120</v>
      </c>
      <c r="AQ70" s="237" t="s">
        <v>443</v>
      </c>
      <c r="AR70" s="236" t="s">
        <v>409</v>
      </c>
      <c r="AS70" s="371" t="s">
        <v>515</v>
      </c>
    </row>
    <row r="71" spans="4:45" ht="16.5" thickBot="1" x14ac:dyDescent="0.3">
      <c r="F71" s="164">
        <f>F70/145.03773772954</f>
        <v>1323.7934002944335</v>
      </c>
      <c r="G71" t="s">
        <v>287</v>
      </c>
      <c r="I71" s="33"/>
      <c r="J71" s="457"/>
      <c r="K71" s="458"/>
      <c r="L71" s="458"/>
      <c r="M71" s="272">
        <f>IF(L68=0,L62,L68)</f>
        <v>1262.7296945210787</v>
      </c>
      <c r="N71" s="96"/>
      <c r="O71" s="437"/>
      <c r="P71" s="438"/>
      <c r="Q71" s="438"/>
      <c r="R71" s="438"/>
      <c r="S71" s="272">
        <f>IF(R68=0,R62,R68)</f>
        <v>1835.2756334252945</v>
      </c>
      <c r="T71" s="96"/>
      <c r="U71" s="96"/>
      <c r="V71" s="33"/>
      <c r="W71" s="102"/>
      <c r="X71" s="104"/>
      <c r="Y71" s="100"/>
      <c r="Z71" s="100"/>
      <c r="AA71" s="103"/>
      <c r="AB71" s="98"/>
      <c r="AC71" s="98"/>
      <c r="AD71" s="98"/>
      <c r="AE71" s="98"/>
      <c r="AO71" s="233" t="s">
        <v>276</v>
      </c>
      <c r="AP71" s="24" t="str">
        <f>CONCATENATE(LEFT(AO71,4)," T ", RIGHT(LEFT(AO71,7),2),"x",RIGHT(LEFT(AO71,10),3)," + 53x120")</f>
        <v>LOCK T 35x120 + 53x120</v>
      </c>
      <c r="AQ71" s="237" t="s">
        <v>444</v>
      </c>
      <c r="AR71" s="236" t="s">
        <v>432</v>
      </c>
      <c r="AS71" s="371" t="s">
        <v>521</v>
      </c>
    </row>
    <row r="72" spans="4:45" ht="15" x14ac:dyDescent="0.25">
      <c r="D72" t="s">
        <v>288</v>
      </c>
      <c r="I72" s="33"/>
      <c r="J72" s="96"/>
      <c r="K72" s="96"/>
      <c r="L72" s="96"/>
      <c r="M72" s="96"/>
      <c r="N72" s="96"/>
      <c r="O72" s="96"/>
      <c r="P72" s="96"/>
      <c r="Q72" s="96"/>
      <c r="R72" s="96"/>
      <c r="S72" s="96"/>
      <c r="T72" s="96"/>
      <c r="U72" s="96"/>
      <c r="V72" s="33"/>
      <c r="W72" s="102"/>
      <c r="X72" s="104"/>
      <c r="Y72" s="100"/>
      <c r="Z72" s="100"/>
      <c r="AA72" s="103"/>
      <c r="AB72" s="98"/>
      <c r="AC72" s="98"/>
      <c r="AD72" s="98"/>
      <c r="AE72" s="98"/>
      <c r="AO72" s="233" t="s">
        <v>277</v>
      </c>
      <c r="AP72" s="24" t="str">
        <f>CONCATENATE(LEFT(AO72,4)," T ", RIGHT(LEFT(AO72,7),2),"x",RIGHT(LEFT(AO72,10),3)," + 50x135")</f>
        <v>LOCK T 50x135 + 50x135</v>
      </c>
      <c r="AQ72" s="237" t="s">
        <v>445</v>
      </c>
      <c r="AR72" s="236" t="s">
        <v>407</v>
      </c>
      <c r="AS72" s="371" t="s">
        <v>521</v>
      </c>
    </row>
    <row r="73" spans="4:45" ht="15" x14ac:dyDescent="0.25">
      <c r="D73" s="165" t="s">
        <v>47</v>
      </c>
      <c r="F73" s="2">
        <f>IF(H73="Beam",90,0)</f>
        <v>0</v>
      </c>
      <c r="G73" t="s">
        <v>292</v>
      </c>
      <c r="H73" s="28" t="str">
        <f>L78</f>
        <v>Beam with routing</v>
      </c>
      <c r="I73" s="33"/>
      <c r="J73" s="96"/>
      <c r="K73" s="249"/>
      <c r="L73" s="96"/>
      <c r="M73" s="96"/>
      <c r="N73" s="96"/>
      <c r="O73" s="96"/>
      <c r="P73" s="96"/>
      <c r="Q73" s="96"/>
      <c r="R73" s="96"/>
      <c r="S73" s="96"/>
      <c r="T73" s="96"/>
      <c r="U73" s="96"/>
      <c r="V73" s="96"/>
      <c r="W73" s="102"/>
      <c r="X73" s="104"/>
      <c r="Y73" s="100"/>
      <c r="Z73" s="100"/>
      <c r="AA73" s="103"/>
      <c r="AB73" s="98"/>
      <c r="AC73" s="98"/>
      <c r="AD73" s="98"/>
      <c r="AE73" s="98"/>
      <c r="AO73" s="233" t="s">
        <v>278</v>
      </c>
      <c r="AP73" s="24" t="str">
        <f>CONCATENATE(LEFT(AO73,4)," T ", RIGHT(LEFT(AO73,7),2),"x",RIGHT(LEFT(AO73,10),3)," + 50x175")</f>
        <v>LOCK T 50x175 + 50x175</v>
      </c>
      <c r="AQ73" s="237" t="s">
        <v>446</v>
      </c>
      <c r="AR73" s="236" t="s">
        <v>410</v>
      </c>
      <c r="AS73" s="371" t="s">
        <v>522</v>
      </c>
    </row>
    <row r="74" spans="4:45" ht="15" x14ac:dyDescent="0.25">
      <c r="D74" s="165" t="s">
        <v>51</v>
      </c>
      <c r="F74" s="2">
        <f>1+0.25*(F73/90)</f>
        <v>1</v>
      </c>
      <c r="I74" s="33"/>
      <c r="J74" s="192" t="s">
        <v>270</v>
      </c>
      <c r="K74" s="96"/>
      <c r="L74" s="264"/>
      <c r="M74" s="96"/>
      <c r="N74" s="96"/>
      <c r="O74" s="96"/>
      <c r="P74" s="96"/>
      <c r="Q74" s="96"/>
      <c r="R74" s="96"/>
      <c r="S74" s="96"/>
      <c r="T74" s="96"/>
      <c r="U74" s="96"/>
      <c r="V74" s="96"/>
      <c r="W74" s="102"/>
      <c r="X74" s="104"/>
      <c r="Y74" s="100"/>
      <c r="Z74" s="100"/>
      <c r="AA74" s="103"/>
      <c r="AB74" s="98"/>
      <c r="AC74" s="98"/>
      <c r="AD74" s="98"/>
      <c r="AE74" s="98"/>
      <c r="AO74" s="233" t="s">
        <v>279</v>
      </c>
      <c r="AP74" s="24" t="str">
        <f>CONCATENATE(LEFT(AO74,4)," T ", RIGHT(LEFT(AO74,7),2),"x",RIGHT(LEFT(AO74,10),3)," + 75x175")</f>
        <v>LOCK T 50x175 + 75x175</v>
      </c>
      <c r="AQ74" s="237" t="s">
        <v>447</v>
      </c>
      <c r="AR74" s="236" t="s">
        <v>433</v>
      </c>
      <c r="AS74" s="371" t="s">
        <v>523</v>
      </c>
    </row>
    <row r="75" spans="4:45" ht="15" x14ac:dyDescent="0.25">
      <c r="D75" s="165" t="s">
        <v>52</v>
      </c>
      <c r="F75" s="2">
        <f>IF(F69&lt;=0.17,2.2,10*F69+0.5)</f>
        <v>2.23</v>
      </c>
      <c r="I75" s="33"/>
      <c r="J75" s="253"/>
      <c r="K75" s="96"/>
      <c r="L75" s="96"/>
      <c r="M75" s="96"/>
      <c r="N75" s="96"/>
      <c r="O75" s="96"/>
      <c r="P75" s="96"/>
      <c r="Q75" s="96"/>
      <c r="R75" s="96"/>
      <c r="S75" s="96"/>
      <c r="T75" s="96"/>
      <c r="U75" s="96"/>
      <c r="V75" s="33"/>
      <c r="W75" s="105"/>
      <c r="X75" s="105"/>
      <c r="Y75" s="97"/>
      <c r="Z75" s="97"/>
      <c r="AA75" s="97"/>
      <c r="AB75" s="97"/>
      <c r="AC75" s="97"/>
      <c r="AD75" s="97"/>
      <c r="AE75" s="97"/>
      <c r="AO75" s="233" t="s">
        <v>280</v>
      </c>
      <c r="AP75" s="24" t="str">
        <f>CONCATENATE(LEFT(AO75,4)," T ", RIGHT(LEFT(AO75,7),2),"x",RIGHT(LEFT(AO75,10),3)," + 75x215")</f>
        <v>LOCK T 75x215 + 75x215</v>
      </c>
      <c r="AQ75" s="237" t="s">
        <v>448</v>
      </c>
      <c r="AR75" s="236" t="s">
        <v>411</v>
      </c>
      <c r="AS75" s="371" t="s">
        <v>524</v>
      </c>
    </row>
    <row r="76" spans="4:45" ht="15" x14ac:dyDescent="0.25">
      <c r="D76" s="165" t="s">
        <v>25</v>
      </c>
      <c r="F76" s="2">
        <f>IF(AND(F69&gt;=0.25,F69&lt;=1),4*F74,IF(F69&lt;0.25,IF(AND(F68&gt;=0.25,F69&lt;0.25),F75*F74,F75)))</f>
        <v>2.23</v>
      </c>
      <c r="I76" s="33"/>
      <c r="J76" s="259" t="s">
        <v>304</v>
      </c>
      <c r="K76" s="260"/>
      <c r="L76" s="260"/>
      <c r="M76" s="260"/>
      <c r="N76" s="260"/>
      <c r="O76" s="260"/>
      <c r="P76" s="260"/>
      <c r="Q76" s="273"/>
      <c r="R76" s="274"/>
      <c r="S76" s="260"/>
      <c r="T76" s="273"/>
      <c r="U76" s="260"/>
      <c r="V76" s="33"/>
      <c r="W76" s="105"/>
      <c r="X76" s="105"/>
      <c r="Y76" s="97"/>
      <c r="Z76" s="97"/>
      <c r="AA76" s="97"/>
      <c r="AB76" s="97"/>
      <c r="AD76" s="97"/>
      <c r="AE76" s="97"/>
      <c r="AO76" s="233" t="s">
        <v>281</v>
      </c>
      <c r="AP76" s="24" t="str">
        <f>CONCATENATE(LEFT(AO76,4)," T ", RIGHT(LEFT(AO76,7),2),"x",RIGHT(LEFT(AO76,10),3)," + 100x215")</f>
        <v>LOCK T 75x215 + 100x215</v>
      </c>
      <c r="AQ76" s="237" t="s">
        <v>449</v>
      </c>
      <c r="AR76" s="236" t="s">
        <v>434</v>
      </c>
      <c r="AS76" s="371" t="s">
        <v>525</v>
      </c>
    </row>
    <row r="77" spans="4:45" ht="15" x14ac:dyDescent="0.25">
      <c r="D77" s="165" t="s">
        <v>26</v>
      </c>
      <c r="F77" s="2">
        <f>IF(AND(F69&gt;=0.25,F69&lt;=1),3.6*F74,IF(F69&lt;0.25,IF(AND(F68&gt;=0.25,F69&lt;0.25),F75*F74,F75)))</f>
        <v>2.23</v>
      </c>
      <c r="I77" s="33"/>
      <c r="J77" s="192"/>
      <c r="K77" s="96"/>
      <c r="L77" s="96"/>
      <c r="M77" s="96"/>
      <c r="N77" s="96"/>
      <c r="O77" s="96"/>
      <c r="P77" s="96"/>
      <c r="Q77" s="256"/>
      <c r="R77" s="249"/>
      <c r="S77" s="96"/>
      <c r="T77" s="256"/>
      <c r="U77" s="96"/>
      <c r="V77" s="33"/>
      <c r="W77" s="105"/>
      <c r="X77" s="105"/>
      <c r="Y77" s="97"/>
      <c r="Z77" s="97"/>
      <c r="AA77" s="97"/>
      <c r="AB77" s="97"/>
      <c r="AC77" s="97"/>
      <c r="AD77" s="97"/>
      <c r="AE77" s="97"/>
      <c r="AS77" s="3"/>
    </row>
    <row r="78" spans="4:45" ht="14.25" customHeight="1" x14ac:dyDescent="0.25">
      <c r="D78" s="165" t="s">
        <v>27</v>
      </c>
      <c r="F78" s="2">
        <f>IF(AND(F69&gt;=0.25,F69&lt;=1),3.2*F74,IF(F69&lt;0.25,IF(AND(F68&gt;=0.25,F69&lt;0.25),F75*F74,F75)))</f>
        <v>2.23</v>
      </c>
      <c r="I78" s="33"/>
      <c r="J78" s="96" t="s">
        <v>465</v>
      </c>
      <c r="K78" s="249"/>
      <c r="L78" s="448" t="s">
        <v>389</v>
      </c>
      <c r="M78" s="448"/>
      <c r="N78" s="275" t="str">
        <f>IF(OR(L78="Column with routing",L78="Column without routing"),"Screws are required to be predrilled on a column","")</f>
        <v/>
      </c>
      <c r="O78" s="96"/>
      <c r="P78" s="249"/>
      <c r="Q78" s="96"/>
      <c r="R78" s="96"/>
      <c r="S78" s="96"/>
      <c r="T78" s="96"/>
      <c r="U78" s="96"/>
      <c r="V78" s="33"/>
      <c r="AS78" s="3"/>
    </row>
    <row r="79" spans="4:45" ht="14.25" x14ac:dyDescent="0.2">
      <c r="I79" s="33"/>
      <c r="J79" s="96"/>
      <c r="K79" s="96"/>
      <c r="L79" s="249"/>
      <c r="M79" s="96"/>
      <c r="N79" s="276" t="str">
        <f>IF(OR(L78="Column with routing",L78="Beam with routing"),"[in]","")</f>
        <v>[in]</v>
      </c>
      <c r="O79" s="276" t="str">
        <f>IF(OR(L78="Column with routing",L78="Beam with routing"),"[mm]","")</f>
        <v>[mm]</v>
      </c>
      <c r="P79" s="277"/>
      <c r="Q79" s="96"/>
      <c r="R79" s="96"/>
      <c r="S79" s="96"/>
      <c r="T79" s="96"/>
      <c r="U79" s="96"/>
      <c r="V79" s="33"/>
      <c r="AA79" s="95" t="s">
        <v>456</v>
      </c>
      <c r="AS79" s="3"/>
    </row>
    <row r="80" spans="4:45" ht="15" x14ac:dyDescent="0.25">
      <c r="D80" t="s">
        <v>290</v>
      </c>
      <c r="I80" s="33"/>
      <c r="J80" s="253"/>
      <c r="K80" s="96"/>
      <c r="L80" s="96"/>
      <c r="M80" s="278" t="str">
        <f>IF(OR(L78="Column with routing",L78="Beam with routing"),"Sf (routing depth)","")</f>
        <v>Sf (routing depth)</v>
      </c>
      <c r="N80" s="279">
        <f>IF(OR(L78="Column with routing",L78="Beam with routing"),O80/25.4,"")</f>
        <v>0.86614173228346458</v>
      </c>
      <c r="O80" s="276">
        <f>IF(OR(L78="Column with routing",L78="Beam with routing"),IF(M132&lt;121,20,22),"")</f>
        <v>22</v>
      </c>
      <c r="P80" s="256"/>
      <c r="Q80" s="96"/>
      <c r="R80" s="96"/>
      <c r="S80" s="96"/>
      <c r="T80" s="96"/>
      <c r="U80" s="96"/>
      <c r="V80" s="33"/>
      <c r="AA80" s="24"/>
      <c r="AB80" s="21" t="s">
        <v>457</v>
      </c>
      <c r="AC80" s="21" t="s">
        <v>458</v>
      </c>
      <c r="AR80" t="s">
        <v>513</v>
      </c>
      <c r="AS80" s="3"/>
    </row>
    <row r="81" spans="4:45" ht="14.25" x14ac:dyDescent="0.2">
      <c r="D81" s="165" t="s">
        <v>291</v>
      </c>
      <c r="F81" s="2">
        <f>F73</f>
        <v>0</v>
      </c>
      <c r="G81" t="s">
        <v>292</v>
      </c>
      <c r="H81" s="28" t="str">
        <f>H73</f>
        <v>Beam with routing</v>
      </c>
      <c r="I81" s="33"/>
      <c r="J81" s="253"/>
      <c r="K81" s="96"/>
      <c r="L81" s="96"/>
      <c r="M81" s="278"/>
      <c r="N81" s="279"/>
      <c r="O81" s="276"/>
      <c r="P81" s="256"/>
      <c r="Q81" s="96"/>
      <c r="R81" s="96"/>
      <c r="S81" s="96"/>
      <c r="T81" s="96"/>
      <c r="U81" s="96"/>
      <c r="V81" s="33"/>
      <c r="AA81" s="24" t="str">
        <f>AA16</f>
        <v>LOCK T 18x80</v>
      </c>
      <c r="AB81" s="176">
        <v>895</v>
      </c>
      <c r="AC81" s="176">
        <v>1305</v>
      </c>
      <c r="AP81" s="64" t="str">
        <f>AR17</f>
        <v>LBS Ø 5 x 40</v>
      </c>
      <c r="AQ81" s="64" t="s">
        <v>166</v>
      </c>
      <c r="AR81" s="64">
        <v>500</v>
      </c>
      <c r="AS81" s="3"/>
    </row>
    <row r="82" spans="4:45" ht="14.25" customHeight="1" x14ac:dyDescent="0.2">
      <c r="D82" s="165" t="s">
        <v>250</v>
      </c>
      <c r="F82" s="16">
        <f>M83</f>
        <v>0.49</v>
      </c>
      <c r="H82" s="28"/>
      <c r="I82" s="33"/>
      <c r="J82" s="253" t="s">
        <v>326</v>
      </c>
      <c r="K82" s="96"/>
      <c r="L82" s="452" t="s">
        <v>67</v>
      </c>
      <c r="M82" s="453"/>
      <c r="N82" s="454"/>
      <c r="O82" s="256" t="str">
        <f>IF(AND(M83&gt;=0.55),"Screws are required to be predrilled","")</f>
        <v/>
      </c>
      <c r="P82" s="96"/>
      <c r="Q82" s="96"/>
      <c r="R82" s="96"/>
      <c r="S82" s="96"/>
      <c r="T82" s="96"/>
      <c r="U82" s="96"/>
      <c r="V82" s="33"/>
      <c r="W82" s="1"/>
      <c r="X82" s="157"/>
      <c r="AA82" s="24" t="str">
        <f t="shared" ref="AA82:AA107" si="15">AA17</f>
        <v>LOCK T 35x80</v>
      </c>
      <c r="AB82" s="176">
        <v>1795</v>
      </c>
      <c r="AC82" s="176">
        <v>2625</v>
      </c>
      <c r="AP82" s="64" t="str">
        <f t="shared" ref="AP82:AP103" si="16">AR18</f>
        <v>LBS Ø 5 x 50</v>
      </c>
      <c r="AQ82" s="64" t="s">
        <v>167</v>
      </c>
      <c r="AR82" s="64">
        <v>200</v>
      </c>
      <c r="AS82" s="3"/>
    </row>
    <row r="83" spans="4:45" ht="15" x14ac:dyDescent="0.25">
      <c r="D83" s="165" t="s">
        <v>49</v>
      </c>
      <c r="F83" s="164">
        <f>11200*F82</f>
        <v>5488</v>
      </c>
      <c r="G83" t="s">
        <v>195</v>
      </c>
      <c r="I83" s="33"/>
      <c r="J83" s="253" t="s">
        <v>250</v>
      </c>
      <c r="K83" s="96"/>
      <c r="L83" s="96"/>
      <c r="M83" s="258">
        <f>VLOOKUP(L82,$A$17:$B$53,2,TRUE)</f>
        <v>0.49</v>
      </c>
      <c r="N83" s="275"/>
      <c r="O83" s="249"/>
      <c r="P83" s="277"/>
      <c r="Q83" s="96"/>
      <c r="R83" s="96"/>
      <c r="S83" s="96"/>
      <c r="T83" s="96"/>
      <c r="U83" s="96"/>
      <c r="V83" s="33"/>
      <c r="X83" s="157"/>
      <c r="AA83" s="24" t="str">
        <f t="shared" si="15"/>
        <v>LOCK T 35x100</v>
      </c>
      <c r="AB83" s="176">
        <v>1795</v>
      </c>
      <c r="AC83" s="176">
        <v>2625</v>
      </c>
      <c r="AP83" s="64" t="str">
        <f t="shared" si="16"/>
        <v>LBS Ø 5 x 60</v>
      </c>
      <c r="AQ83" s="64" t="s">
        <v>168</v>
      </c>
      <c r="AR83" s="64">
        <v>200</v>
      </c>
      <c r="AS83" s="3"/>
    </row>
    <row r="84" spans="4:45" ht="15.75" thickBot="1" x14ac:dyDescent="0.3">
      <c r="D84" s="165" t="s">
        <v>50</v>
      </c>
      <c r="F84" s="164">
        <f>(6100*F82^1.45)/(F69)^0.5</f>
        <v>5213.0405062785312</v>
      </c>
      <c r="G84" t="s">
        <v>195</v>
      </c>
      <c r="I84" s="33"/>
      <c r="J84" s="253" t="s">
        <v>329</v>
      </c>
      <c r="K84" s="96"/>
      <c r="L84" s="96"/>
      <c r="M84" s="280">
        <f>62.4*(M83/(1+M83*0.009*19))*(1+0.19)</f>
        <v>33.572407938807331</v>
      </c>
      <c r="N84" s="279"/>
      <c r="O84" s="276"/>
      <c r="P84" s="256"/>
      <c r="Q84" s="96"/>
      <c r="R84" s="96"/>
      <c r="S84" s="96"/>
      <c r="T84" s="96"/>
      <c r="U84" s="96"/>
      <c r="V84" s="33"/>
      <c r="AA84" s="24" t="str">
        <f t="shared" si="15"/>
        <v>LOCK T 35x120</v>
      </c>
      <c r="AB84" s="176">
        <v>1795</v>
      </c>
      <c r="AC84" s="176">
        <v>2625</v>
      </c>
      <c r="AP84" s="69" t="str">
        <f t="shared" si="16"/>
        <v>LBS Ø 5 x 70</v>
      </c>
      <c r="AQ84" s="69" t="s">
        <v>169</v>
      </c>
      <c r="AR84" s="69">
        <v>200</v>
      </c>
      <c r="AS84" s="3"/>
    </row>
    <row r="85" spans="4:45" ht="15" x14ac:dyDescent="0.25">
      <c r="D85" s="165" t="s">
        <v>293</v>
      </c>
      <c r="F85" s="164">
        <f>16600*F82^1.84</f>
        <v>4467.5443786522055</v>
      </c>
      <c r="G85" t="s">
        <v>294</v>
      </c>
      <c r="I85" s="33"/>
      <c r="J85" s="253"/>
      <c r="K85" s="96"/>
      <c r="L85" s="96"/>
      <c r="M85" s="278"/>
      <c r="N85" s="279"/>
      <c r="O85" s="276"/>
      <c r="P85" s="256"/>
      <c r="Q85" s="96"/>
      <c r="R85" s="96"/>
      <c r="S85" s="96"/>
      <c r="T85" s="96"/>
      <c r="U85" s="96"/>
      <c r="V85" s="33"/>
      <c r="AA85" s="24" t="str">
        <f t="shared" si="15"/>
        <v>LOCK T 53x120</v>
      </c>
      <c r="AB85" s="176">
        <v>2695</v>
      </c>
      <c r="AC85" s="176">
        <v>3940</v>
      </c>
      <c r="AP85" s="74" t="str">
        <f t="shared" si="16"/>
        <v>LBS Ø 7 x 60</v>
      </c>
      <c r="AQ85" s="74" t="s">
        <v>170</v>
      </c>
      <c r="AR85" s="74">
        <v>100</v>
      </c>
      <c r="AS85" s="3"/>
    </row>
    <row r="86" spans="4:45" ht="15" x14ac:dyDescent="0.25">
      <c r="D86" s="165" t="s">
        <v>48</v>
      </c>
      <c r="F86" s="164">
        <f>IF((F69&lt;0.25),F85,IF(F81=0,F83,F84))</f>
        <v>4467.5443786522055</v>
      </c>
      <c r="G86" t="s">
        <v>195</v>
      </c>
      <c r="I86" s="33"/>
      <c r="J86" s="253"/>
      <c r="K86" s="96"/>
      <c r="L86" s="96"/>
      <c r="M86" s="96"/>
      <c r="N86" s="281" t="s">
        <v>428</v>
      </c>
      <c r="O86" s="256"/>
      <c r="P86" s="96"/>
      <c r="Q86" s="96"/>
      <c r="R86" s="96"/>
      <c r="S86" s="96"/>
      <c r="T86" s="96"/>
      <c r="U86" s="96"/>
      <c r="V86" s="33"/>
      <c r="AA86" s="24" t="str">
        <f t="shared" si="15"/>
        <v>LOCK T 50x135</v>
      </c>
      <c r="AB86" s="176">
        <v>2695</v>
      </c>
      <c r="AC86" s="176">
        <v>3940</v>
      </c>
      <c r="AP86" s="64" t="str">
        <f t="shared" si="16"/>
        <v>LBS Ø 7 x 80</v>
      </c>
      <c r="AQ86" s="64" t="s">
        <v>171</v>
      </c>
      <c r="AR86" s="64">
        <v>100</v>
      </c>
      <c r="AS86" s="3"/>
    </row>
    <row r="87" spans="4:45" ht="15" thickBot="1" x14ac:dyDescent="0.25">
      <c r="I87" s="33"/>
      <c r="J87" s="127"/>
      <c r="K87" s="249"/>
      <c r="L87" s="252" t="s">
        <v>11</v>
      </c>
      <c r="M87" s="252" t="s">
        <v>10</v>
      </c>
      <c r="N87" s="276" t="s">
        <v>11</v>
      </c>
      <c r="O87" s="276" t="s">
        <v>10</v>
      </c>
      <c r="P87" s="96"/>
      <c r="Q87" s="96"/>
      <c r="R87" s="96"/>
      <c r="S87" s="96"/>
      <c r="T87" s="96"/>
      <c r="U87" s="96"/>
      <c r="V87" s="33"/>
      <c r="W87" s="1"/>
      <c r="AA87" s="24" t="str">
        <f t="shared" si="15"/>
        <v>LOCK T 50x175</v>
      </c>
      <c r="AB87" s="176">
        <v>3595</v>
      </c>
      <c r="AC87" s="176">
        <v>5255</v>
      </c>
      <c r="AP87" s="69" t="str">
        <f t="shared" si="16"/>
        <v>LBS Ø 7 x 100</v>
      </c>
      <c r="AQ87" s="69" t="s">
        <v>172</v>
      </c>
      <c r="AR87" s="69">
        <v>100</v>
      </c>
      <c r="AS87" s="3"/>
    </row>
    <row r="88" spans="4:45" ht="14.25" customHeight="1" x14ac:dyDescent="0.25">
      <c r="D88" t="s">
        <v>295</v>
      </c>
      <c r="E88" s="2"/>
      <c r="F88" s="171">
        <f>2*38000/1.6</f>
        <v>47500</v>
      </c>
      <c r="G88" s="172" t="s">
        <v>269</v>
      </c>
      <c r="I88" s="33"/>
      <c r="J88" s="96" t="str">
        <f>IF(OR(L78="Beam with routing", L78="Beam without routing"), "Member Width, BH", "Member Depth, Hs")</f>
        <v>Member Width, BH</v>
      </c>
      <c r="K88" s="96"/>
      <c r="L88" s="400">
        <v>5.125</v>
      </c>
      <c r="M88" s="283">
        <f>L88*25.4</f>
        <v>130.17499999999998</v>
      </c>
      <c r="N88" s="284">
        <f>O88/25.4</f>
        <v>3.2283464566929134</v>
      </c>
      <c r="O88" s="276">
        <f>IF(OR(L78="Column with routing",L78="Beam with routing"),VLOOKUP(L140,AR16:AV39,5,FALSE)+O80,VLOOKUP(L140,AR16:AV39,5,FALSE))</f>
        <v>82</v>
      </c>
      <c r="P88" s="96"/>
      <c r="Q88" s="96"/>
      <c r="R88" s="96"/>
      <c r="S88" s="96"/>
      <c r="T88" s="96"/>
      <c r="U88" s="96"/>
      <c r="V88" s="33"/>
      <c r="Z88" s="46"/>
      <c r="AA88" s="24" t="str">
        <f t="shared" si="15"/>
        <v>LOCK T 75x175</v>
      </c>
      <c r="AB88" s="176">
        <v>5395</v>
      </c>
      <c r="AC88" s="176">
        <v>7890</v>
      </c>
      <c r="AD88" s="38"/>
      <c r="AP88" s="74" t="str">
        <f t="shared" si="16"/>
        <v>KKF Ø 5 x 40</v>
      </c>
      <c r="AQ88" s="74" t="s">
        <v>173</v>
      </c>
      <c r="AR88" s="74">
        <v>200</v>
      </c>
      <c r="AS88" s="3"/>
    </row>
    <row r="89" spans="4:45" ht="14.25" customHeight="1" x14ac:dyDescent="0.2">
      <c r="I89" s="33"/>
      <c r="J89" s="96" t="str">
        <f>IF(OR(L78="Beam with routing",L78="Beam without routing"),"Member depth HH",IF(LEFT(L78,6)="Column",0,"Member height"))</f>
        <v>Member depth HH</v>
      </c>
      <c r="K89" s="96"/>
      <c r="L89" s="400">
        <v>12</v>
      </c>
      <c r="M89" s="283">
        <f>L89*25.4*IF(LEFT(L78,6)="Column", 0,1)</f>
        <v>304.79999999999995</v>
      </c>
      <c r="N89" s="284">
        <f>O89/25.4*IF(LEFT(L78,6)="Column", 0,1)</f>
        <v>7.4803149606299213</v>
      </c>
      <c r="O89" s="285">
        <f>(VLOOKUP(L125,AA16:AN42,10,FALSE))*IF(LEFT(L78,6)="Column", 0,1)</f>
        <v>190</v>
      </c>
      <c r="P89" s="96"/>
      <c r="Q89" s="96"/>
      <c r="R89" s="96"/>
      <c r="S89" s="96"/>
      <c r="T89" s="96"/>
      <c r="U89" s="96"/>
      <c r="V89" s="33"/>
      <c r="W89" s="1"/>
      <c r="Z89" s="38"/>
      <c r="AA89" s="24" t="str">
        <f t="shared" si="15"/>
        <v>LOCK T 75x215</v>
      </c>
      <c r="AB89" s="176">
        <v>5395</v>
      </c>
      <c r="AC89" s="176">
        <v>7890</v>
      </c>
      <c r="AD89" s="38"/>
      <c r="AP89" s="64" t="str">
        <f t="shared" si="16"/>
        <v>KKF Ø 5 x 50</v>
      </c>
      <c r="AQ89" s="64" t="s">
        <v>175</v>
      </c>
      <c r="AR89" s="64">
        <v>200</v>
      </c>
      <c r="AS89" s="3"/>
    </row>
    <row r="90" spans="4:45" ht="15" x14ac:dyDescent="0.25">
      <c r="D90" s="165" t="s">
        <v>41</v>
      </c>
      <c r="F90" s="16">
        <f>F86/F88</f>
        <v>9.4053565866362224E-2</v>
      </c>
      <c r="I90" s="33"/>
      <c r="J90" s="96" t="str">
        <f>IF(OR(L78="Column with routing",L78="Column without routing"),"Member Width, Bs","")</f>
        <v/>
      </c>
      <c r="K90" s="96"/>
      <c r="L90" s="286">
        <v>5</v>
      </c>
      <c r="M90" s="283" t="str">
        <f>IF(OR(L78="Column with routing",L78="Column without routing"), L90*25.4,"")</f>
        <v/>
      </c>
      <c r="N90" s="284">
        <f>IF(OR(L78="Column with routing",L78="Column without routing"),O90/25.4, 0)</f>
        <v>0</v>
      </c>
      <c r="O90" s="276">
        <f>IF(L95="No", VLOOKUP(L125,AA16:AN42,13,FALSE), VLOOKUP(L125,AA16:AN42,11,FALSE))*IF(LEFT(L78,6)="Column", 1,0)</f>
        <v>0</v>
      </c>
      <c r="P90" s="96"/>
      <c r="Q90" s="96"/>
      <c r="R90" s="96"/>
      <c r="S90" s="96"/>
      <c r="T90" s="96"/>
      <c r="U90" s="96"/>
      <c r="V90" s="33"/>
      <c r="Z90" s="38"/>
      <c r="AA90" s="24" t="str">
        <f t="shared" si="15"/>
        <v>LOCK T 100x215</v>
      </c>
      <c r="AB90" s="176">
        <v>7190</v>
      </c>
      <c r="AC90" s="176">
        <v>10515</v>
      </c>
      <c r="AD90" s="38"/>
      <c r="AP90" s="64" t="str">
        <f t="shared" si="16"/>
        <v>KKF Ø 5 x 60</v>
      </c>
      <c r="AQ90" s="64" t="s">
        <v>176</v>
      </c>
      <c r="AR90" s="64">
        <v>200</v>
      </c>
      <c r="AS90" s="3"/>
    </row>
    <row r="91" spans="4:45" ht="14.25" x14ac:dyDescent="0.2">
      <c r="F91" s="166"/>
      <c r="I91" s="33"/>
      <c r="J91" s="96"/>
      <c r="K91" s="96"/>
      <c r="L91" s="277" t="str">
        <f>IF(OR(L88&lt;N88,AND(L89&lt;N89,L89&lt;&gt;0),AND(L90&lt;N90,L90&lt;&gt;0)),"Main member does not meet minimum dimension requirements","")</f>
        <v/>
      </c>
      <c r="M91" s="283"/>
      <c r="N91" s="284"/>
      <c r="O91" s="276"/>
      <c r="P91" s="277"/>
      <c r="Q91" s="96"/>
      <c r="R91" s="96"/>
      <c r="S91" s="96"/>
      <c r="T91" s="96"/>
      <c r="U91" s="96"/>
      <c r="V91" s="33"/>
      <c r="W91" s="1"/>
      <c r="Z91" s="46"/>
      <c r="AA91" s="24" t="str">
        <f t="shared" si="15"/>
        <v>LOCK T 75x240</v>
      </c>
      <c r="AB91" s="176">
        <v>6470</v>
      </c>
      <c r="AC91" s="176">
        <v>9460</v>
      </c>
      <c r="AD91" s="38"/>
      <c r="AP91" s="64" t="str">
        <f t="shared" si="16"/>
        <v>KKF Ø 5 x 70</v>
      </c>
      <c r="AQ91" s="64" t="s">
        <v>177</v>
      </c>
      <c r="AR91" s="64">
        <v>100</v>
      </c>
      <c r="AS91" s="3"/>
    </row>
    <row r="92" spans="4:45" ht="15" x14ac:dyDescent="0.25">
      <c r="D92" s="226" t="s">
        <v>296</v>
      </c>
      <c r="F92" s="166">
        <f>M147-F44-(VLOOKUP(L140,AR16:AY39,8,FALSE)/2)</f>
        <v>51.294799999999995</v>
      </c>
      <c r="G92" t="s">
        <v>163</v>
      </c>
      <c r="H92" t="s">
        <v>323</v>
      </c>
      <c r="I92" s="33"/>
      <c r="J92" s="96"/>
      <c r="K92" s="96"/>
      <c r="L92" s="287" t="str">
        <f>IF(AND(L88&lt;N88,LEFT(L78,4)="Beam"),"Increase Width","")</f>
        <v/>
      </c>
      <c r="M92" s="288" t="str">
        <f>IF(AND(L88&lt;N88,LEFT(L78,6)="Column"),"Increase Depth","")</f>
        <v/>
      </c>
      <c r="N92" s="284"/>
      <c r="O92" s="276"/>
      <c r="P92" s="277"/>
      <c r="Q92" s="96"/>
      <c r="R92" s="96"/>
      <c r="S92" s="96"/>
      <c r="T92" s="96"/>
      <c r="U92" s="96"/>
      <c r="V92" s="33"/>
      <c r="AA92" s="24" t="str">
        <f t="shared" si="15"/>
        <v>LOCK T 100x240</v>
      </c>
      <c r="AB92" s="176">
        <v>8630</v>
      </c>
      <c r="AC92" s="176">
        <v>12620</v>
      </c>
      <c r="AP92" s="64" t="str">
        <f t="shared" si="16"/>
        <v>KKF Ø 5 x 80</v>
      </c>
      <c r="AQ92" s="64" t="s">
        <v>178</v>
      </c>
      <c r="AR92" s="64">
        <v>100</v>
      </c>
      <c r="AS92" s="3"/>
    </row>
    <row r="93" spans="4:45" ht="14.25" customHeight="1" x14ac:dyDescent="0.2">
      <c r="D93" s="130"/>
      <c r="F93" s="167">
        <f>F92/25.4</f>
        <v>2.0194803149606297</v>
      </c>
      <c r="G93" t="s">
        <v>193</v>
      </c>
      <c r="I93" s="33"/>
      <c r="J93" s="96"/>
      <c r="K93" s="96"/>
      <c r="L93" s="287" t="str">
        <f>IF(L89&lt;N89,"Increase Depth","")</f>
        <v/>
      </c>
      <c r="M93" s="288" t="str">
        <f>IF(AND(L90&lt;N90,LEFT(L78,6)="Column"),"Increase Width","")</f>
        <v/>
      </c>
      <c r="N93" s="284"/>
      <c r="O93" s="276"/>
      <c r="P93" s="277"/>
      <c r="Q93" s="96"/>
      <c r="R93" s="96"/>
      <c r="S93" s="96"/>
      <c r="T93" s="96"/>
      <c r="U93" s="96"/>
      <c r="V93" s="33"/>
      <c r="W93" s="1"/>
      <c r="AA93" s="24" t="str">
        <f t="shared" si="15"/>
        <v>LOCK T 125x240</v>
      </c>
      <c r="AB93" s="176">
        <v>10790</v>
      </c>
      <c r="AC93" s="176">
        <v>15780</v>
      </c>
      <c r="AP93" s="64" t="str">
        <f t="shared" si="16"/>
        <v>KKF Ø 5 x 90</v>
      </c>
      <c r="AQ93" s="64" t="s">
        <v>179</v>
      </c>
      <c r="AR93" s="64">
        <v>100</v>
      </c>
      <c r="AS93" s="3"/>
    </row>
    <row r="94" spans="4:45" ht="15.75" thickBot="1" x14ac:dyDescent="0.3">
      <c r="D94" s="226" t="s">
        <v>297</v>
      </c>
      <c r="F94" s="168">
        <v>5</v>
      </c>
      <c r="G94" t="s">
        <v>163</v>
      </c>
      <c r="H94" s="182" t="s">
        <v>372</v>
      </c>
      <c r="I94" s="33"/>
      <c r="J94" s="96"/>
      <c r="K94" s="96"/>
      <c r="L94" s="287"/>
      <c r="M94" s="288"/>
      <c r="N94" s="284"/>
      <c r="O94" s="276"/>
      <c r="P94" s="277"/>
      <c r="Q94" s="96"/>
      <c r="R94" s="96"/>
      <c r="S94" s="96"/>
      <c r="T94" s="96"/>
      <c r="U94" s="96"/>
      <c r="V94" s="33"/>
      <c r="AA94" s="24" t="str">
        <f t="shared" si="15"/>
        <v>LOCK T 75x265</v>
      </c>
      <c r="AB94" s="176">
        <v>6470</v>
      </c>
      <c r="AC94" s="176">
        <v>9460</v>
      </c>
      <c r="AP94" s="69" t="str">
        <f t="shared" si="16"/>
        <v>KKF Ø 5 x 100</v>
      </c>
      <c r="AQ94" s="69" t="s">
        <v>180</v>
      </c>
      <c r="AR94" s="69">
        <v>100</v>
      </c>
      <c r="AS94" s="3"/>
    </row>
    <row r="95" spans="4:45" ht="14.25" x14ac:dyDescent="0.2">
      <c r="F95" s="167">
        <f>F94/25.4</f>
        <v>0.19685039370078741</v>
      </c>
      <c r="G95" t="s">
        <v>193</v>
      </c>
      <c r="I95" s="33"/>
      <c r="J95" s="248" t="s">
        <v>429</v>
      </c>
      <c r="K95" s="289"/>
      <c r="L95" s="239" t="s">
        <v>210</v>
      </c>
      <c r="M95" s="290" t="str">
        <f>IF(AND(LEFT(L78,6)="Column",L95="No"),"You need to predrill screws on the column", "")</f>
        <v/>
      </c>
      <c r="N95" s="276"/>
      <c r="O95" s="96"/>
      <c r="P95" s="96"/>
      <c r="Q95" s="96"/>
      <c r="R95" s="96"/>
      <c r="S95" s="96"/>
      <c r="T95" s="96"/>
      <c r="U95" s="96"/>
      <c r="V95" s="33"/>
      <c r="AA95" s="24" t="str">
        <f t="shared" si="15"/>
        <v>LOCK T 100x265</v>
      </c>
      <c r="AB95" s="176">
        <v>8630</v>
      </c>
      <c r="AC95" s="176">
        <v>12620</v>
      </c>
      <c r="AP95" s="74" t="str">
        <f t="shared" si="16"/>
        <v>KKF Ø 6 x 80</v>
      </c>
      <c r="AQ95" s="74" t="s">
        <v>181</v>
      </c>
      <c r="AR95" s="74">
        <v>100</v>
      </c>
      <c r="AS95" s="3"/>
    </row>
    <row r="96" spans="4:45" ht="14.25" x14ac:dyDescent="0.2">
      <c r="I96" s="33"/>
      <c r="J96" s="249"/>
      <c r="K96" s="96"/>
      <c r="L96" s="275" t="str">
        <f>IF(M83&gt;0.55,"● Predrilling is required for wood species with specific gravity, G &gt; 0.55","")</f>
        <v/>
      </c>
      <c r="M96" s="96"/>
      <c r="N96" s="96"/>
      <c r="O96" s="96"/>
      <c r="P96" s="96"/>
      <c r="Q96" s="96"/>
      <c r="R96" s="96"/>
      <c r="S96" s="96"/>
      <c r="T96" s="96"/>
      <c r="U96" s="96"/>
      <c r="V96" s="33"/>
      <c r="AA96" s="24" t="str">
        <f t="shared" si="15"/>
        <v>LOCK T 125x265</v>
      </c>
      <c r="AB96" s="176">
        <v>10790</v>
      </c>
      <c r="AC96" s="176">
        <v>15780</v>
      </c>
      <c r="AP96" s="64" t="str">
        <f t="shared" si="16"/>
        <v>KKF Ø 6 x 100</v>
      </c>
      <c r="AQ96" s="64" t="s">
        <v>182</v>
      </c>
      <c r="AR96" s="64">
        <v>100</v>
      </c>
      <c r="AS96" s="3"/>
    </row>
    <row r="97" spans="4:45" ht="15.75" thickBot="1" x14ac:dyDescent="0.3">
      <c r="D97" s="165" t="s">
        <v>45</v>
      </c>
      <c r="F97" s="16">
        <f>F93/F95</f>
        <v>10.258959999999998</v>
      </c>
      <c r="I97" s="33"/>
      <c r="J97" s="96"/>
      <c r="K97" s="96"/>
      <c r="L97" s="275" t="s">
        <v>431</v>
      </c>
      <c r="M97" s="96"/>
      <c r="N97" s="96"/>
      <c r="O97" s="96"/>
      <c r="P97" s="96"/>
      <c r="Q97" s="96"/>
      <c r="R97" s="96"/>
      <c r="S97" s="96"/>
      <c r="T97" s="96"/>
      <c r="U97" s="96"/>
      <c r="V97" s="33"/>
      <c r="AA97" s="24" t="str">
        <f t="shared" si="15"/>
        <v>LOCK T 75x290</v>
      </c>
      <c r="AB97" s="176">
        <v>6470</v>
      </c>
      <c r="AC97" s="176">
        <v>9460</v>
      </c>
      <c r="AP97" s="69" t="str">
        <f t="shared" si="16"/>
        <v>KKF Ø 6 x 120</v>
      </c>
      <c r="AQ97" s="69" t="s">
        <v>183</v>
      </c>
      <c r="AR97" s="69">
        <v>100</v>
      </c>
      <c r="AS97" s="3"/>
    </row>
    <row r="98" spans="4:45" ht="14.25" x14ac:dyDescent="0.2">
      <c r="I98" s="33"/>
      <c r="J98" s="291"/>
      <c r="K98" s="284"/>
      <c r="L98" s="275" t="str">
        <f>IF(L95="Yes", "● It is recommended that the predrill hole diameter is 70% of the screw diameter ("&amp;AK56&amp;" inch or "&amp;ROUND(AK56*25.4,0)&amp;" mm)","")</f>
        <v/>
      </c>
      <c r="M98" s="284"/>
      <c r="N98" s="276"/>
      <c r="O98" s="96"/>
      <c r="P98" s="96"/>
      <c r="Q98" s="96"/>
      <c r="R98" s="96"/>
      <c r="S98" s="96"/>
      <c r="T98" s="96"/>
      <c r="U98" s="96"/>
      <c r="V98" s="33"/>
      <c r="AA98" s="24" t="str">
        <f t="shared" si="15"/>
        <v>LOCK T 100x290</v>
      </c>
      <c r="AB98" s="176">
        <v>8630</v>
      </c>
      <c r="AC98" s="176">
        <v>12620</v>
      </c>
      <c r="AP98" s="74" t="str">
        <f t="shared" si="16"/>
        <v>HBS PLATE EVO Ø 5 x 50</v>
      </c>
      <c r="AQ98" s="74" t="s">
        <v>184</v>
      </c>
      <c r="AR98" s="74">
        <v>200</v>
      </c>
      <c r="AS98" s="3"/>
    </row>
    <row r="99" spans="4:45" ht="14.25" customHeight="1" x14ac:dyDescent="0.25">
      <c r="D99" s="165" t="s">
        <v>28</v>
      </c>
      <c r="F99" s="161">
        <f>(SQRT(F90+2*F90^2*(1+F97+F97^2)+F97^2*F90^3)-F90*(1+F97))/(1+F90)</f>
        <v>0.40095680761670627</v>
      </c>
      <c r="I99" s="33"/>
      <c r="J99" s="259" t="s">
        <v>249</v>
      </c>
      <c r="K99" s="292"/>
      <c r="L99" s="293"/>
      <c r="M99" s="292"/>
      <c r="N99" s="293"/>
      <c r="O99" s="260"/>
      <c r="P99" s="260"/>
      <c r="Q99" s="260"/>
      <c r="R99" s="260"/>
      <c r="S99" s="260"/>
      <c r="T99" s="260"/>
      <c r="U99" s="260"/>
      <c r="V99" s="33"/>
      <c r="AA99" s="24" t="str">
        <f t="shared" si="15"/>
        <v>LOCK T 125x290</v>
      </c>
      <c r="AB99" s="176">
        <v>10790</v>
      </c>
      <c r="AC99" s="176">
        <v>15780</v>
      </c>
      <c r="AP99" s="64" t="str">
        <f t="shared" si="16"/>
        <v>HBS PLATE EVO Ø 5 x 60</v>
      </c>
      <c r="AQ99" s="64" t="s">
        <v>186</v>
      </c>
      <c r="AR99" s="64">
        <v>200</v>
      </c>
      <c r="AS99" s="3"/>
    </row>
    <row r="100" spans="4:45" ht="12.75" customHeight="1" x14ac:dyDescent="0.2">
      <c r="I100" s="33"/>
      <c r="J100" s="192"/>
      <c r="K100" s="284"/>
      <c r="L100" s="276"/>
      <c r="M100" s="284"/>
      <c r="N100" s="276"/>
      <c r="O100" s="96"/>
      <c r="P100" s="96"/>
      <c r="Q100" s="96"/>
      <c r="R100" s="96"/>
      <c r="S100" s="96"/>
      <c r="T100" s="96"/>
      <c r="U100" s="96"/>
      <c r="V100" s="33"/>
      <c r="Z100" s="26"/>
      <c r="AA100" s="24" t="str">
        <f t="shared" si="15"/>
        <v>LOCK T 35x100 + 35x100</v>
      </c>
      <c r="AB100" s="176">
        <f>AB83*2</f>
        <v>3590</v>
      </c>
      <c r="AC100" s="176">
        <f>AC83*2</f>
        <v>5250</v>
      </c>
      <c r="AP100" s="64" t="str">
        <f t="shared" si="16"/>
        <v>HBS PLATE EVO Ø 5 x 70</v>
      </c>
      <c r="AQ100" s="64" t="s">
        <v>187</v>
      </c>
      <c r="AR100" s="64">
        <v>100</v>
      </c>
      <c r="AS100" s="3"/>
    </row>
    <row r="101" spans="4:45" ht="15.75" thickBot="1" x14ac:dyDescent="0.3">
      <c r="D101" s="165" t="s">
        <v>35</v>
      </c>
      <c r="F101" s="161">
        <f>-1+(SQRT(2*(1+F90)+((2*F70*(1+2*F90)*F69^2)/(3*F86*F93^2))))</f>
        <v>0.56138305267193811</v>
      </c>
      <c r="I101" s="33"/>
      <c r="J101" s="253" t="s">
        <v>328</v>
      </c>
      <c r="K101" s="249"/>
      <c r="L101" s="452" t="s">
        <v>67</v>
      </c>
      <c r="M101" s="453"/>
      <c r="N101" s="454"/>
      <c r="O101" s="294" t="str">
        <f>IF(M102&gt;=0.55,"Screws are required to be predrilled","")</f>
        <v/>
      </c>
      <c r="P101" s="96"/>
      <c r="Q101" s="249"/>
      <c r="R101" s="96"/>
      <c r="S101" s="96"/>
      <c r="T101" s="96"/>
      <c r="U101" s="96"/>
      <c r="V101" s="33"/>
      <c r="X101" s="3"/>
      <c r="Y101" s="3"/>
      <c r="Z101" s="1"/>
      <c r="AA101" s="24" t="str">
        <f t="shared" si="15"/>
        <v>LOCK T 35x120 + 35x120</v>
      </c>
      <c r="AB101" s="176">
        <f>AB84*2</f>
        <v>3590</v>
      </c>
      <c r="AC101" s="176">
        <f>AC84*2</f>
        <v>5250</v>
      </c>
      <c r="AP101" s="69" t="str">
        <f t="shared" si="16"/>
        <v>HBS PLATE EVO Ø 5 x 80</v>
      </c>
      <c r="AQ101" s="69" t="s">
        <v>188</v>
      </c>
      <c r="AR101" s="69">
        <v>100</v>
      </c>
      <c r="AS101" s="3"/>
    </row>
    <row r="102" spans="4:45" ht="14.25" x14ac:dyDescent="0.2">
      <c r="D102" s="165"/>
      <c r="I102" s="33"/>
      <c r="J102" s="253" t="s">
        <v>250</v>
      </c>
      <c r="K102" s="96"/>
      <c r="L102" s="249"/>
      <c r="M102" s="295">
        <f>VLOOKUP(L101,$A$17:$B$53,2,TRUE)</f>
        <v>0.49</v>
      </c>
      <c r="N102" s="296"/>
      <c r="O102" s="249"/>
      <c r="P102" s="96"/>
      <c r="Q102" s="96"/>
      <c r="R102" s="96"/>
      <c r="S102" s="96"/>
      <c r="T102" s="96"/>
      <c r="U102" s="96"/>
      <c r="V102" s="33"/>
      <c r="AA102" s="24" t="str">
        <f t="shared" si="15"/>
        <v>LOCK T 35x120 + 53x120</v>
      </c>
      <c r="AB102" s="176">
        <f>AB84+AB85</f>
        <v>4490</v>
      </c>
      <c r="AC102" s="176">
        <f>AC84+AC85</f>
        <v>6565</v>
      </c>
      <c r="AP102" s="59" t="str">
        <f t="shared" si="16"/>
        <v>HBS PLATE EVO Ø 6 x 80</v>
      </c>
      <c r="AQ102" s="59" t="s">
        <v>189</v>
      </c>
      <c r="AR102" s="59">
        <v>100</v>
      </c>
    </row>
    <row r="103" spans="4:45" ht="15.75" thickBot="1" x14ac:dyDescent="0.3">
      <c r="D103" s="165" t="s">
        <v>38</v>
      </c>
      <c r="F103" s="161">
        <f>-1+(SQRT((2*(1+F90))/F90+((2*F70*(2+F90)*F69^2)/(3*F86*F95^2))))</f>
        <v>7.3428817599974927</v>
      </c>
      <c r="I103" s="33"/>
      <c r="J103" s="253" t="s">
        <v>329</v>
      </c>
      <c r="K103" s="249"/>
      <c r="L103" s="96"/>
      <c r="M103" s="280">
        <f>62.4*(M102/(1+M102*0.009*19))*(1+0.19)</f>
        <v>33.572407938807331</v>
      </c>
      <c r="N103" s="297"/>
      <c r="O103" s="96"/>
      <c r="P103" s="96"/>
      <c r="Q103" s="96"/>
      <c r="R103" s="96"/>
      <c r="S103" s="96"/>
      <c r="T103" s="96"/>
      <c r="U103" s="96"/>
      <c r="V103" s="33"/>
      <c r="X103" s="3"/>
      <c r="Y103" s="3"/>
      <c r="Z103" s="1"/>
      <c r="AA103" s="24" t="str">
        <f t="shared" si="15"/>
        <v>LOCK T 50x135 + 50x135</v>
      </c>
      <c r="AB103" s="176">
        <f>AB86*2</f>
        <v>5390</v>
      </c>
      <c r="AC103" s="176">
        <f>AC86*2</f>
        <v>7880</v>
      </c>
      <c r="AP103" s="69" t="str">
        <f t="shared" si="16"/>
        <v>HBS PLATE EVO Ø 6 x 90</v>
      </c>
      <c r="AQ103" s="69" t="s">
        <v>190</v>
      </c>
      <c r="AR103" s="69">
        <v>100</v>
      </c>
    </row>
    <row r="104" spans="4:45" ht="14.25" x14ac:dyDescent="0.2">
      <c r="I104" s="33"/>
      <c r="J104" s="192"/>
      <c r="K104" s="284"/>
      <c r="L104" s="276"/>
      <c r="M104" s="284"/>
      <c r="N104" s="276"/>
      <c r="O104" s="96"/>
      <c r="P104" s="96"/>
      <c r="Q104" s="96"/>
      <c r="R104" s="96"/>
      <c r="S104" s="96"/>
      <c r="T104" s="96"/>
      <c r="U104" s="96"/>
      <c r="V104" s="33"/>
      <c r="AA104" s="24" t="str">
        <f t="shared" si="15"/>
        <v>LOCK T 50x175 + 50x175</v>
      </c>
      <c r="AB104" s="176">
        <f>AB87*2</f>
        <v>7190</v>
      </c>
      <c r="AC104" s="176">
        <f>AC87*2</f>
        <v>10510</v>
      </c>
    </row>
    <row r="105" spans="4:45" ht="17.25" x14ac:dyDescent="0.3">
      <c r="D105" s="388" t="s">
        <v>29</v>
      </c>
      <c r="E105" s="382" t="s">
        <v>527</v>
      </c>
      <c r="F105" s="382" t="s">
        <v>31</v>
      </c>
      <c r="G105" s="382" t="s">
        <v>528</v>
      </c>
      <c r="H105" s="383" t="s">
        <v>33</v>
      </c>
      <c r="I105" s="33"/>
      <c r="J105" s="249"/>
      <c r="K105" s="96"/>
      <c r="L105" s="253"/>
      <c r="M105" s="258"/>
      <c r="N105" s="256" t="s">
        <v>368</v>
      </c>
      <c r="O105" s="256"/>
      <c r="P105" s="96"/>
      <c r="Q105" s="253"/>
      <c r="R105" s="96"/>
      <c r="S105" s="96"/>
      <c r="T105" s="96"/>
      <c r="U105" s="96"/>
      <c r="V105" s="33"/>
      <c r="X105" s="3"/>
      <c r="Y105" s="3"/>
      <c r="Z105" s="1"/>
      <c r="AA105" s="24" t="str">
        <f t="shared" si="15"/>
        <v>LOCK T 50x175 + 75x175</v>
      </c>
      <c r="AB105" s="176">
        <f>AB87+AB88</f>
        <v>8990</v>
      </c>
      <c r="AC105" s="176">
        <f>AC87+AC88</f>
        <v>13145</v>
      </c>
    </row>
    <row r="106" spans="4:45" ht="18" x14ac:dyDescent="0.3">
      <c r="D106" s="389" t="s">
        <v>529</v>
      </c>
      <c r="E106" s="384">
        <f>(F69*F93*F86)/F76</f>
        <v>699.92215322865388</v>
      </c>
      <c r="F106" s="385">
        <f>E106*4.448221615255/1000</f>
        <v>3.1134088509875206</v>
      </c>
      <c r="G106" s="384">
        <f>E106</f>
        <v>699.92215322865388</v>
      </c>
      <c r="H106" s="385">
        <f>G106*4.448221615255/1000</f>
        <v>3.1134088509875206</v>
      </c>
      <c r="I106" s="33"/>
      <c r="J106" s="127"/>
      <c r="K106" s="249"/>
      <c r="L106" s="252" t="s">
        <v>11</v>
      </c>
      <c r="M106" s="252" t="s">
        <v>10</v>
      </c>
      <c r="N106" s="284" t="s">
        <v>11</v>
      </c>
      <c r="O106" s="284" t="s">
        <v>10</v>
      </c>
      <c r="P106" s="96"/>
      <c r="Q106" s="96"/>
      <c r="R106" s="96"/>
      <c r="S106" s="96"/>
      <c r="T106" s="96"/>
      <c r="U106" s="96"/>
      <c r="V106" s="33"/>
      <c r="X106" s="3"/>
      <c r="Y106" s="3"/>
      <c r="Z106" s="1"/>
      <c r="AA106" s="24" t="str">
        <f t="shared" si="15"/>
        <v>LOCK T 75x215 + 75x215</v>
      </c>
      <c r="AB106" s="176">
        <f>AB89*2</f>
        <v>10790</v>
      </c>
      <c r="AC106" s="176">
        <f>AC89*2</f>
        <v>15780</v>
      </c>
    </row>
    <row r="107" spans="4:45" ht="18" x14ac:dyDescent="0.3">
      <c r="D107" s="389" t="s">
        <v>530</v>
      </c>
      <c r="E107" s="384">
        <f>(F69*F95*F88)/F76</f>
        <v>725.3892871014441</v>
      </c>
      <c r="F107" s="385">
        <f>E107*4.448221615255/1000</f>
        <v>3.2266923063590585</v>
      </c>
      <c r="G107" s="384">
        <f>2*F69*F95*F88/F76</f>
        <v>1450.7785742028882</v>
      </c>
      <c r="H107" s="385">
        <f>G107*4.448221615255/1000</f>
        <v>6.4533846127181169</v>
      </c>
      <c r="I107" s="33"/>
      <c r="J107" s="96" t="s">
        <v>499</v>
      </c>
      <c r="K107" s="96"/>
      <c r="L107" s="400">
        <v>5.125</v>
      </c>
      <c r="M107" s="283">
        <f>L107*25.4</f>
        <v>130.17499999999998</v>
      </c>
      <c r="N107" s="284">
        <f>O107/25.4</f>
        <v>4.1338582677165361</v>
      </c>
      <c r="O107" s="276">
        <f>IF(L116="No", VLOOKUP(L125,AA16:AN42,13,FALSE), VLOOKUP(L125,AA16:AN42,11,FALSE))</f>
        <v>105</v>
      </c>
      <c r="P107" s="249"/>
      <c r="Q107" s="96"/>
      <c r="R107" s="96"/>
      <c r="S107" s="96"/>
      <c r="T107" s="96"/>
      <c r="U107" s="96"/>
      <c r="V107" s="33"/>
      <c r="X107" s="3"/>
      <c r="Y107" s="3"/>
      <c r="Z107" s="1"/>
      <c r="AA107" s="24" t="str">
        <f t="shared" si="15"/>
        <v>LOCK T 75x215 + 100x215</v>
      </c>
      <c r="AB107" s="176">
        <f>AB89+AB90</f>
        <v>12585</v>
      </c>
      <c r="AC107" s="176">
        <f>AC89+AC90</f>
        <v>18405</v>
      </c>
    </row>
    <row r="108" spans="4:45" ht="15" x14ac:dyDescent="0.2">
      <c r="D108" s="389" t="s">
        <v>37</v>
      </c>
      <c r="E108" s="384">
        <f>F99*F69*F95*F88/F77</f>
        <v>290.84977283555344</v>
      </c>
      <c r="F108" s="385">
        <f t="shared" ref="F108:F111" si="17">E108*4.448221615255/1000</f>
        <v>1.2937642463191152</v>
      </c>
      <c r="G108" s="384"/>
      <c r="H108" s="385"/>
      <c r="I108" s="33"/>
      <c r="J108" s="96" t="s">
        <v>500</v>
      </c>
      <c r="K108" s="96"/>
      <c r="L108" s="400">
        <v>10.5</v>
      </c>
      <c r="M108" s="283">
        <f>L108*25.4</f>
        <v>266.7</v>
      </c>
      <c r="N108" s="284">
        <f>O108/25.4</f>
        <v>6.8897637795275593</v>
      </c>
      <c r="O108" s="380">
        <f>IF(L116="No", VLOOKUP(L125,AA16:AN42,14,FALSE), VLOOKUP(L125,AA16:AN42,12,FALSE))</f>
        <v>175</v>
      </c>
      <c r="P108" s="96"/>
      <c r="Q108" s="96"/>
      <c r="R108" s="96"/>
      <c r="S108" s="96"/>
      <c r="T108" s="96"/>
      <c r="U108" s="96"/>
      <c r="V108" s="33"/>
      <c r="X108" s="3"/>
      <c r="Y108" s="3"/>
      <c r="Z108" s="1"/>
      <c r="AB108" s="164"/>
    </row>
    <row r="109" spans="4:45" ht="18" x14ac:dyDescent="0.3">
      <c r="D109" s="389" t="s">
        <v>531</v>
      </c>
      <c r="E109" s="384">
        <f>(F101*F69*F93*F86)/((1+2*F90)*F78)</f>
        <v>330.71465065543407</v>
      </c>
      <c r="F109" s="385">
        <f t="shared" si="17"/>
        <v>1.4710920575270079</v>
      </c>
      <c r="G109" s="384"/>
      <c r="H109" s="385"/>
      <c r="I109" s="33"/>
      <c r="J109" s="96"/>
      <c r="K109" s="96"/>
      <c r="L109" s="277" t="str">
        <f>IF(OR(L107&lt;N107,L108&lt;N108),"Secondary member does not meet minimum dimension requirements","")</f>
        <v/>
      </c>
      <c r="M109" s="283"/>
      <c r="N109" s="284"/>
      <c r="O109" s="276"/>
      <c r="P109" s="277"/>
      <c r="Q109" s="96"/>
      <c r="R109" s="96"/>
      <c r="S109" s="96"/>
      <c r="T109" s="96"/>
      <c r="U109" s="96"/>
      <c r="V109" s="33"/>
      <c r="X109" s="3"/>
      <c r="Y109" s="3"/>
      <c r="Z109" s="1"/>
    </row>
    <row r="110" spans="4:45" ht="18" x14ac:dyDescent="0.3">
      <c r="D110" s="389" t="s">
        <v>532</v>
      </c>
      <c r="E110" s="384">
        <f>(F103*F69*F95*F86)/((2+F90)*F78)</f>
        <v>239.23523919334815</v>
      </c>
      <c r="F110" s="385">
        <f t="shared" si="17"/>
        <v>1.0641713621105513</v>
      </c>
      <c r="G110" s="384">
        <f>(2*F103*F69*F95*F86)/((2+F90)*F78)</f>
        <v>478.4704783866963</v>
      </c>
      <c r="H110" s="385">
        <f>G110*4.448221615255/1000</f>
        <v>2.1283427242211026</v>
      </c>
      <c r="I110" s="33"/>
      <c r="J110" s="96"/>
      <c r="K110" s="96"/>
      <c r="L110" s="287" t="str">
        <f>IF(L107&lt;N107,"Increase Width","")</f>
        <v/>
      </c>
      <c r="M110" s="283"/>
      <c r="N110" s="284"/>
      <c r="O110" s="276"/>
      <c r="P110" s="277"/>
      <c r="Q110" s="96"/>
      <c r="R110" s="96"/>
      <c r="S110" s="96"/>
      <c r="T110" s="96"/>
      <c r="U110" s="96"/>
      <c r="V110" s="33"/>
      <c r="X110" s="3"/>
      <c r="Y110" s="3"/>
      <c r="Z110" s="1"/>
    </row>
    <row r="111" spans="4:45" ht="15" x14ac:dyDescent="0.2">
      <c r="D111" s="389" t="s">
        <v>42</v>
      </c>
      <c r="E111" s="384">
        <f>(F69^2/F78)*SQRT((2*F86*F70)/(3*(1+F90)))</f>
        <v>306.8368196769963</v>
      </c>
      <c r="F111" s="385">
        <f t="shared" si="17"/>
        <v>1.3648781736433158</v>
      </c>
      <c r="G111" s="384">
        <f>(2*F69^2/F78)*SQRT((2*F86*F70)/(3*(1+F90)))</f>
        <v>613.6736393539926</v>
      </c>
      <c r="H111" s="385">
        <f>G111*4.448221615255/1000</f>
        <v>2.7297563472866315</v>
      </c>
      <c r="I111" s="33"/>
      <c r="J111" s="96"/>
      <c r="K111" s="96"/>
      <c r="L111" s="287" t="str">
        <f>IF(L108&lt;N108,"Increase Depth","")</f>
        <v/>
      </c>
      <c r="M111" s="284"/>
      <c r="N111" s="276"/>
      <c r="O111" s="96"/>
      <c r="P111" s="96"/>
      <c r="Q111" s="96"/>
      <c r="R111" s="96"/>
      <c r="S111" s="96"/>
      <c r="T111" s="96"/>
      <c r="U111" s="96"/>
      <c r="V111" s="33"/>
      <c r="X111" s="3"/>
      <c r="Y111" s="3"/>
      <c r="Z111" s="1"/>
    </row>
    <row r="112" spans="4:45" ht="14.25" x14ac:dyDescent="0.2">
      <c r="D112" s="97"/>
      <c r="E112" s="386"/>
      <c r="F112" s="97"/>
      <c r="G112" s="386"/>
      <c r="H112" s="97"/>
      <c r="I112" s="33"/>
      <c r="J112" s="96"/>
      <c r="K112" s="96"/>
      <c r="L112" s="277"/>
      <c r="M112" s="284"/>
      <c r="N112" s="276"/>
      <c r="O112" s="96"/>
      <c r="P112" s="96"/>
      <c r="Q112" s="96"/>
      <c r="R112" s="96"/>
      <c r="S112" s="96"/>
      <c r="T112" s="96"/>
      <c r="U112" s="96"/>
      <c r="V112" s="33"/>
    </row>
    <row r="113" spans="4:25" ht="14.25" x14ac:dyDescent="0.2">
      <c r="D113" s="387" t="s">
        <v>46</v>
      </c>
      <c r="E113" s="384">
        <f>MIN(E106:E111)</f>
        <v>239.23523919334815</v>
      </c>
      <c r="F113" s="385">
        <f>MIN(F106:F111)</f>
        <v>1.0641713621105513</v>
      </c>
      <c r="G113" s="384">
        <f>MIN(G106:G111)</f>
        <v>478.4704783866963</v>
      </c>
      <c r="H113" s="385">
        <f>MIN(H106:H111)</f>
        <v>2.1283427242211026</v>
      </c>
      <c r="I113" s="33"/>
      <c r="J113" s="39"/>
      <c r="K113" s="96"/>
      <c r="L113" s="262" t="s">
        <v>222</v>
      </c>
      <c r="M113" s="262" t="s">
        <v>241</v>
      </c>
      <c r="N113" s="96"/>
      <c r="O113" s="96"/>
      <c r="P113" s="277"/>
      <c r="Q113" s="96"/>
      <c r="R113" s="96"/>
      <c r="S113" s="96"/>
      <c r="T113" s="96"/>
      <c r="U113" s="96"/>
      <c r="V113" s="33"/>
    </row>
    <row r="114" spans="4:25" ht="14.25" customHeight="1" x14ac:dyDescent="0.2">
      <c r="I114" s="33"/>
      <c r="J114" s="249" t="s">
        <v>330</v>
      </c>
      <c r="K114" s="96"/>
      <c r="L114" s="268">
        <f>(L107/12)*(L108/12)*M103</f>
        <v>12.54593890421576</v>
      </c>
      <c r="M114" s="255">
        <f>L114*0.004448</f>
        <v>5.5804336245951693E-2</v>
      </c>
      <c r="N114" s="277" t="str">
        <f>IF(OR($L$68&lt;&gt;0,R68&lt;&gt;0),"The beam self weight is ignored when a load has been entered manually","")</f>
        <v/>
      </c>
      <c r="O114" s="96"/>
      <c r="P114" s="277"/>
      <c r="Q114" s="96"/>
      <c r="R114" s="96"/>
      <c r="S114" s="96"/>
      <c r="T114" s="96"/>
      <c r="U114" s="96"/>
      <c r="V114" s="33"/>
      <c r="X114" s="3"/>
      <c r="Y114" s="3"/>
    </row>
    <row r="115" spans="4:25" ht="14.25" x14ac:dyDescent="0.2">
      <c r="D115" t="s">
        <v>308</v>
      </c>
      <c r="I115" s="33"/>
      <c r="J115" s="39"/>
      <c r="K115" s="268"/>
      <c r="L115" s="255"/>
      <c r="M115" s="96"/>
      <c r="N115" s="277"/>
      <c r="O115" s="96"/>
      <c r="P115" s="277"/>
      <c r="Q115" s="96"/>
      <c r="R115" s="96"/>
      <c r="S115" s="96"/>
      <c r="T115" s="96"/>
      <c r="U115" s="96"/>
      <c r="V115" s="33"/>
      <c r="X115" s="3"/>
      <c r="Y115" s="3"/>
    </row>
    <row r="116" spans="4:25" ht="14.25" x14ac:dyDescent="0.2">
      <c r="D116" s="173" t="s">
        <v>142</v>
      </c>
      <c r="F116" s="180">
        <f>(VLOOKUP(L125,AA16:AH42,7,FALSE))</f>
        <v>3</v>
      </c>
      <c r="G116" s="38" t="s">
        <v>307</v>
      </c>
      <c r="I116" s="33"/>
      <c r="J116" s="248" t="s">
        <v>430</v>
      </c>
      <c r="K116" s="289"/>
      <c r="L116" s="239" t="s">
        <v>210</v>
      </c>
      <c r="M116" s="249"/>
      <c r="N116" s="96"/>
      <c r="O116" s="96"/>
      <c r="P116" s="96"/>
      <c r="Q116" s="96"/>
      <c r="R116" s="96"/>
      <c r="S116" s="96"/>
      <c r="T116" s="96"/>
      <c r="U116" s="96"/>
      <c r="V116" s="33"/>
      <c r="X116" s="3"/>
      <c r="Y116" s="3"/>
    </row>
    <row r="117" spans="4:25" ht="14.25" x14ac:dyDescent="0.2">
      <c r="D117" s="173" t="s">
        <v>141</v>
      </c>
      <c r="F117" s="180">
        <f>(VLOOKUP(L125,AA16:AH42,8,FALSE))*F116</f>
        <v>30</v>
      </c>
      <c r="G117" s="38" t="s">
        <v>143</v>
      </c>
      <c r="I117" s="33"/>
      <c r="J117" s="96"/>
      <c r="K117" s="96"/>
      <c r="L117" s="275" t="str">
        <f>IF(M102&gt;0.55,"● Predrilling is required for wood species with specific gravity, G &gt; 0.55","")</f>
        <v/>
      </c>
      <c r="M117" s="96"/>
      <c r="N117" s="96"/>
      <c r="O117" s="96"/>
      <c r="P117" s="96"/>
      <c r="Q117" s="96"/>
      <c r="R117" s="96"/>
      <c r="S117" s="96"/>
      <c r="T117" s="96"/>
      <c r="U117" s="96"/>
      <c r="V117" s="33"/>
      <c r="X117" s="3"/>
      <c r="Y117" s="3"/>
    </row>
    <row r="118" spans="4:25" ht="15.75" customHeight="1" x14ac:dyDescent="0.2">
      <c r="D118" s="173" t="s">
        <v>310</v>
      </c>
      <c r="F118" s="166">
        <f>M71/F117</f>
        <v>42.090989817369291</v>
      </c>
      <c r="G118" s="38" t="s">
        <v>309</v>
      </c>
      <c r="I118" s="33"/>
      <c r="J118" s="96"/>
      <c r="K118" s="96"/>
      <c r="L118" s="275" t="s">
        <v>431</v>
      </c>
      <c r="M118" s="249"/>
      <c r="N118" s="96"/>
      <c r="O118" s="96"/>
      <c r="P118" s="96"/>
      <c r="Q118" s="96"/>
      <c r="R118" s="96"/>
      <c r="S118" s="96"/>
      <c r="T118" s="96"/>
      <c r="U118" s="96"/>
      <c r="V118" s="33"/>
      <c r="X118" s="3"/>
      <c r="Y118" s="3"/>
    </row>
    <row r="119" spans="4:25" ht="17.100000000000001" customHeight="1" x14ac:dyDescent="0.2">
      <c r="D119" s="173" t="s">
        <v>311</v>
      </c>
      <c r="F119" s="166">
        <f>S71/F117</f>
        <v>61.175854447509813</v>
      </c>
      <c r="G119" s="38" t="s">
        <v>309</v>
      </c>
      <c r="I119" s="33"/>
      <c r="J119" s="39"/>
      <c r="K119" s="268"/>
      <c r="L119" s="275" t="str">
        <f>IF(L116="Yes", "● It is recommended that the predrill hole diameter is 70% of the screw diameter ("&amp;AK57&amp;" inch or "&amp;ROUND(AK57*25.4,0)&amp;" mm)","")</f>
        <v/>
      </c>
      <c r="M119" s="96"/>
      <c r="N119" s="258"/>
      <c r="O119" s="96"/>
      <c r="P119" s="277"/>
      <c r="Q119" s="96"/>
      <c r="R119" s="96"/>
      <c r="S119" s="96"/>
      <c r="T119" s="96"/>
      <c r="U119" s="96"/>
      <c r="V119" s="33"/>
      <c r="X119" s="3"/>
      <c r="Y119" s="3"/>
    </row>
    <row r="120" spans="4:25" ht="14.25" customHeight="1" x14ac:dyDescent="0.2">
      <c r="I120" s="33"/>
      <c r="J120" s="298" t="s">
        <v>398</v>
      </c>
      <c r="K120" s="299"/>
      <c r="L120" s="260"/>
      <c r="M120" s="260"/>
      <c r="N120" s="260"/>
      <c r="O120" s="260"/>
      <c r="P120" s="260"/>
      <c r="Q120" s="260"/>
      <c r="R120" s="260"/>
      <c r="S120" s="260"/>
      <c r="T120" s="260"/>
      <c r="U120" s="260"/>
      <c r="V120" s="33"/>
      <c r="X120" s="3"/>
      <c r="Y120" s="3"/>
    </row>
    <row r="121" spans="4:25" ht="14.25" x14ac:dyDescent="0.2">
      <c r="D121" t="s">
        <v>312</v>
      </c>
      <c r="I121" s="33"/>
      <c r="J121" s="39"/>
      <c r="K121" s="250"/>
      <c r="L121" s="96"/>
      <c r="M121" s="96"/>
      <c r="N121" s="96"/>
      <c r="O121" s="96"/>
      <c r="P121" s="96"/>
      <c r="Q121" s="96"/>
      <c r="R121" s="96"/>
      <c r="S121" s="96"/>
      <c r="T121" s="96"/>
      <c r="U121" s="96"/>
      <c r="V121" s="33"/>
      <c r="X121" s="3"/>
      <c r="Y121" s="3"/>
    </row>
    <row r="122" spans="4:25" ht="14.25" x14ac:dyDescent="0.2">
      <c r="D122" s="173" t="s">
        <v>6</v>
      </c>
      <c r="F122" s="179">
        <f>L141</f>
        <v>12</v>
      </c>
      <c r="G122" s="38" t="s">
        <v>24</v>
      </c>
      <c r="I122" s="33"/>
      <c r="J122" s="253" t="s">
        <v>400</v>
      </c>
      <c r="K122" s="250"/>
      <c r="L122" s="448" t="s">
        <v>401</v>
      </c>
      <c r="M122" s="448"/>
      <c r="N122" s="275" t="s">
        <v>466</v>
      </c>
      <c r="O122" s="96"/>
      <c r="P122" s="96"/>
      <c r="Q122" s="96"/>
      <c r="R122" s="96"/>
      <c r="S122" s="96"/>
      <c r="T122" s="96"/>
      <c r="U122" s="96"/>
      <c r="V122" s="33"/>
      <c r="W122" s="3"/>
      <c r="X122" s="3"/>
    </row>
    <row r="123" spans="4:25" ht="14.25" customHeight="1" x14ac:dyDescent="0.2">
      <c r="D123" s="173" t="s">
        <v>313</v>
      </c>
      <c r="F123" s="178">
        <f>M71/F122</f>
        <v>105.22747454342323</v>
      </c>
      <c r="G123" s="38" t="s">
        <v>309</v>
      </c>
      <c r="I123" s="33"/>
      <c r="J123" s="253"/>
      <c r="K123" s="250"/>
      <c r="L123" s="96"/>
      <c r="M123" s="96"/>
      <c r="N123" s="256"/>
      <c r="O123" s="249"/>
      <c r="P123" s="96"/>
      <c r="Q123" s="96"/>
      <c r="R123" s="96"/>
      <c r="S123" s="96"/>
      <c r="T123" s="96"/>
      <c r="U123" s="96"/>
      <c r="V123" s="33"/>
    </row>
    <row r="124" spans="4:25" ht="14.25" x14ac:dyDescent="0.2">
      <c r="D124" s="173" t="s">
        <v>314</v>
      </c>
      <c r="F124" s="178">
        <f>S71/F122</f>
        <v>152.93963611877453</v>
      </c>
      <c r="G124" s="38" t="s">
        <v>309</v>
      </c>
      <c r="I124" s="33"/>
      <c r="J124" s="249"/>
      <c r="K124" s="250"/>
      <c r="L124" s="96"/>
      <c r="M124" s="96"/>
      <c r="N124" s="96"/>
      <c r="O124" s="96"/>
      <c r="P124" s="96"/>
      <c r="Q124" s="96"/>
      <c r="R124" s="96"/>
      <c r="S124" s="96"/>
      <c r="T124" s="96"/>
      <c r="U124" s="96"/>
      <c r="V124" s="33"/>
      <c r="W124" s="3"/>
      <c r="X124" s="3"/>
    </row>
    <row r="125" spans="4:25" ht="15" customHeight="1" x14ac:dyDescent="0.2">
      <c r="I125" s="33"/>
      <c r="J125" s="253" t="s">
        <v>427</v>
      </c>
      <c r="K125" s="250"/>
      <c r="L125" s="448" t="s">
        <v>526</v>
      </c>
      <c r="M125" s="448"/>
      <c r="N125" s="289" t="str">
        <f>(VLOOKUP(L125,AA16:AF42,6,FALSE))</f>
        <v>LOCK T MIDI</v>
      </c>
      <c r="O125" s="96"/>
      <c r="P125" s="96"/>
      <c r="Q125" s="96"/>
      <c r="R125" s="96"/>
      <c r="S125" s="96"/>
      <c r="T125" s="96"/>
      <c r="U125" s="96"/>
      <c r="V125" s="33"/>
    </row>
    <row r="126" spans="4:25" ht="14.25" x14ac:dyDescent="0.2">
      <c r="D126" t="s">
        <v>315</v>
      </c>
      <c r="I126" s="33"/>
      <c r="J126" s="253"/>
      <c r="K126" s="250"/>
      <c r="L126" s="289"/>
      <c r="M126" s="289"/>
      <c r="N126" s="289"/>
      <c r="O126" s="96"/>
      <c r="P126" s="96"/>
      <c r="Q126" s="96"/>
      <c r="R126" s="96"/>
      <c r="S126" s="96"/>
      <c r="T126" s="96"/>
      <c r="U126" s="96"/>
      <c r="V126" s="33"/>
      <c r="W126" s="3"/>
      <c r="X126" s="3"/>
    </row>
    <row r="127" spans="4:25" ht="14.25" x14ac:dyDescent="0.2">
      <c r="D127" s="165" t="s">
        <v>316</v>
      </c>
      <c r="F127" s="178">
        <f>SQRT(F118^2+F123^2)</f>
        <v>113.33345853097694</v>
      </c>
      <c r="G127" s="38" t="s">
        <v>309</v>
      </c>
      <c r="I127" s="33"/>
      <c r="J127" s="253" t="s">
        <v>403</v>
      </c>
      <c r="K127" s="250"/>
      <c r="L127" s="459" t="str">
        <f>IF(L122="NO",VLOOKUP(L125,AP50:AR76,2,FALSE),VLOOKUP(L125,AP50:AR76,3,FALSE))</f>
        <v>LOCKT75175</v>
      </c>
      <c r="M127" s="459"/>
      <c r="N127" s="253"/>
      <c r="O127" s="96"/>
      <c r="P127" s="96"/>
      <c r="Q127" s="96"/>
      <c r="R127" s="96"/>
      <c r="S127" s="96"/>
      <c r="T127" s="96"/>
      <c r="U127" s="96"/>
      <c r="V127" s="33"/>
    </row>
    <row r="128" spans="4:25" ht="14.25" x14ac:dyDescent="0.2">
      <c r="D128" s="165" t="s">
        <v>317</v>
      </c>
      <c r="F128" s="178">
        <f>SQRT(F119^2+F124^2)</f>
        <v>164.72102920855633</v>
      </c>
      <c r="G128" s="38" t="s">
        <v>309</v>
      </c>
      <c r="I128" s="33"/>
      <c r="J128" s="253"/>
      <c r="K128" s="250"/>
      <c r="L128" s="301" t="str">
        <f>IF(RIGHT(L127,1)="*","(*) Only available on special request","")</f>
        <v/>
      </c>
      <c r="M128" s="300"/>
      <c r="N128" s="253"/>
      <c r="O128" s="96"/>
      <c r="P128" s="96"/>
      <c r="Q128" s="96"/>
      <c r="R128" s="96"/>
      <c r="S128" s="96"/>
      <c r="T128" s="96"/>
      <c r="U128" s="96"/>
      <c r="V128" s="33"/>
      <c r="W128" s="1"/>
      <c r="X128" s="2"/>
    </row>
    <row r="129" spans="4:26" ht="14.25" x14ac:dyDescent="0.2">
      <c r="D129" s="165" t="s">
        <v>144</v>
      </c>
      <c r="F129" s="181">
        <f>ATAN(F118/F123)</f>
        <v>0.3805063771123649</v>
      </c>
      <c r="G129" s="38"/>
      <c r="I129" s="33"/>
      <c r="J129" s="253"/>
      <c r="K129" s="253"/>
      <c r="L129" s="127"/>
      <c r="M129" s="127"/>
      <c r="N129" s="253"/>
      <c r="O129" s="96"/>
      <c r="P129" s="96"/>
      <c r="Q129" s="96"/>
      <c r="R129" s="96"/>
      <c r="S129" s="96"/>
      <c r="T129" s="96"/>
      <c r="U129" s="96"/>
      <c r="V129" s="33"/>
    </row>
    <row r="130" spans="4:26" ht="14.25" x14ac:dyDescent="0.2">
      <c r="D130" s="173" t="s">
        <v>318</v>
      </c>
      <c r="F130" s="181">
        <f>DEGREES(F129)</f>
        <v>21.801409486351812</v>
      </c>
      <c r="I130" s="33"/>
      <c r="J130" s="127"/>
      <c r="K130" s="96"/>
      <c r="L130" s="252" t="s">
        <v>11</v>
      </c>
      <c r="M130" s="252" t="s">
        <v>10</v>
      </c>
      <c r="N130" s="96"/>
      <c r="O130" s="277"/>
      <c r="P130" s="96"/>
      <c r="Q130" s="96"/>
      <c r="R130" s="96"/>
      <c r="S130" s="96"/>
      <c r="T130" s="96"/>
      <c r="U130" s="96"/>
      <c r="V130" s="33"/>
    </row>
    <row r="131" spans="4:26" ht="14.25" x14ac:dyDescent="0.2">
      <c r="D131" s="165"/>
      <c r="F131" s="16"/>
      <c r="I131" s="33"/>
      <c r="J131" s="96" t="s">
        <v>363</v>
      </c>
      <c r="K131" s="96"/>
      <c r="L131" s="302">
        <f>M131/25.4</f>
        <v>2.9527559055118111</v>
      </c>
      <c r="M131" s="303">
        <f>(VLOOKUP(L125,AA16:AC42,2,FALSE))</f>
        <v>75</v>
      </c>
      <c r="N131" s="96"/>
      <c r="O131" s="277"/>
      <c r="P131" s="96"/>
      <c r="Q131" s="96"/>
      <c r="R131" s="96"/>
      <c r="S131" s="96"/>
      <c r="T131" s="96"/>
      <c r="U131" s="96"/>
      <c r="V131" s="33"/>
    </row>
    <row r="132" spans="4:26" ht="14.25" x14ac:dyDescent="0.2">
      <c r="D132" t="s">
        <v>352</v>
      </c>
      <c r="F132" s="181"/>
      <c r="I132" s="33"/>
      <c r="J132" s="96" t="s">
        <v>364</v>
      </c>
      <c r="K132" s="96"/>
      <c r="L132" s="302">
        <f>M132/25.4</f>
        <v>6.8897637795275593</v>
      </c>
      <c r="M132" s="303">
        <f>(VLOOKUP(L125,AA16:AC42,3,FALSE))</f>
        <v>175</v>
      </c>
      <c r="N132" s="96"/>
      <c r="O132" s="96"/>
      <c r="P132" s="96"/>
      <c r="Q132" s="96"/>
      <c r="R132" s="96"/>
      <c r="S132" s="96"/>
      <c r="T132" s="96"/>
      <c r="U132" s="96"/>
      <c r="V132" s="33"/>
    </row>
    <row r="133" spans="4:26" ht="14.25" x14ac:dyDescent="0.2">
      <c r="D133" s="165" t="s">
        <v>321</v>
      </c>
      <c r="F133" s="181" t="str">
        <f>VLOOKUP(L140,AR16:AS39,2,FALSE)</f>
        <v>LBS</v>
      </c>
      <c r="I133" s="33"/>
      <c r="J133" s="96" t="s">
        <v>426</v>
      </c>
      <c r="K133" s="96"/>
      <c r="L133" s="302">
        <f>M133/25.4</f>
        <v>0.86614173228346458</v>
      </c>
      <c r="M133" s="303">
        <f>VLOOKUP(L125,AA16:AO42,15,FALSE)</f>
        <v>22</v>
      </c>
      <c r="N133" s="96"/>
      <c r="O133" s="96"/>
      <c r="P133" s="96"/>
      <c r="Q133" s="96"/>
      <c r="R133" s="96"/>
      <c r="S133" s="96"/>
      <c r="T133" s="96"/>
      <c r="U133" s="96"/>
      <c r="V133" s="33"/>
      <c r="X133" s="3" t="s">
        <v>10</v>
      </c>
      <c r="Y133" s="3" t="s">
        <v>11</v>
      </c>
    </row>
    <row r="134" spans="4:26" ht="14.25" x14ac:dyDescent="0.2">
      <c r="D134" s="165" t="s">
        <v>343</v>
      </c>
      <c r="F134" s="181" t="str">
        <f>IF(VLOOKUP(L140,AR16:BA38,10,FALSE)="This screw type is not contained in the ICC-ESR 4645 report","NO","YES")</f>
        <v>YES</v>
      </c>
      <c r="I134" s="33"/>
      <c r="J134" s="96" t="s">
        <v>361</v>
      </c>
      <c r="K134" s="96"/>
      <c r="L134" s="302">
        <f>M134/25.4</f>
        <v>0.23622047244094491</v>
      </c>
      <c r="M134" s="304">
        <v>6</v>
      </c>
      <c r="N134" s="96"/>
      <c r="O134" s="96"/>
      <c r="P134" s="96"/>
      <c r="Q134" s="96"/>
      <c r="R134" s="96"/>
      <c r="S134" s="96"/>
      <c r="T134" s="96"/>
      <c r="U134" s="96"/>
      <c r="V134" s="33"/>
      <c r="W134" s="1" t="s">
        <v>53</v>
      </c>
      <c r="X134" s="125">
        <v>40</v>
      </c>
      <c r="Y134" s="16">
        <f>X134/25.4</f>
        <v>1.5748031496062993</v>
      </c>
      <c r="Z134" t="s">
        <v>54</v>
      </c>
    </row>
    <row r="135" spans="4:26" ht="14.25" x14ac:dyDescent="0.2">
      <c r="D135" s="165" t="s">
        <v>344</v>
      </c>
      <c r="F135" s="181" t="str">
        <f>IF(ISNUMBER(MATCH(M83,BC15:BF15,0)),"YES","NO")</f>
        <v>YES</v>
      </c>
      <c r="I135" s="33"/>
      <c r="J135" s="96" t="s">
        <v>362</v>
      </c>
      <c r="K135" s="96"/>
      <c r="L135" s="302">
        <f>M135/25.4</f>
        <v>0.27559055118110237</v>
      </c>
      <c r="M135" s="304">
        <f>VLOOKUP(L125,AA16:AE42,5,FALSE)</f>
        <v>7</v>
      </c>
      <c r="N135" s="96"/>
      <c r="O135" s="96"/>
      <c r="P135" s="96"/>
      <c r="Q135" s="96"/>
      <c r="R135" s="96"/>
      <c r="S135" s="96"/>
      <c r="T135" s="96"/>
      <c r="U135" s="96"/>
      <c r="V135" s="33"/>
      <c r="X135" s="3"/>
    </row>
    <row r="136" spans="4:26" ht="14.25" x14ac:dyDescent="0.2">
      <c r="D136" s="165" t="s">
        <v>346</v>
      </c>
      <c r="F136" s="166">
        <f>IF(AND(F134="YES",F135="YES"),11+MATCH(M83,BC15:BF15,FALSE),"NO LOOK UP")</f>
        <v>14</v>
      </c>
      <c r="I136" s="33"/>
      <c r="J136" s="96" t="s">
        <v>336</v>
      </c>
      <c r="K136" s="96"/>
      <c r="L136" s="450" t="s">
        <v>269</v>
      </c>
      <c r="M136" s="450"/>
      <c r="N136" s="96"/>
      <c r="O136" s="96"/>
      <c r="P136" s="96"/>
      <c r="Q136" s="96"/>
      <c r="R136" s="96"/>
      <c r="S136" s="96"/>
      <c r="T136" s="305"/>
      <c r="U136" s="96"/>
      <c r="V136" s="33"/>
      <c r="W136" s="1"/>
    </row>
    <row r="137" spans="4:26" ht="14.25" x14ac:dyDescent="0.2">
      <c r="D137" s="182" t="s">
        <v>319</v>
      </c>
      <c r="F137" s="186">
        <f>IF(AND(F134="YES",F135="YES"),VLOOKUP(L140,AR16:BF39,F136,FALSE),2850*F82^2*F68)</f>
        <v>149</v>
      </c>
      <c r="G137" t="s">
        <v>320</v>
      </c>
      <c r="H137" s="165" t="s">
        <v>345</v>
      </c>
      <c r="I137" s="33"/>
      <c r="J137" s="96"/>
      <c r="K137" s="96"/>
      <c r="L137" s="302"/>
      <c r="M137" s="302"/>
      <c r="N137" s="96"/>
      <c r="O137" s="96"/>
      <c r="P137" s="96"/>
      <c r="Q137" s="96"/>
      <c r="R137" s="96"/>
      <c r="S137" s="96"/>
      <c r="T137" s="96"/>
      <c r="U137" s="96"/>
      <c r="V137" s="33"/>
      <c r="X137">
        <f>3*F19*F43*AB91</f>
        <v>6781.273534015746</v>
      </c>
    </row>
    <row r="138" spans="4:26" ht="14.25" customHeight="1" x14ac:dyDescent="0.2">
      <c r="D138" s="165" t="s">
        <v>100</v>
      </c>
      <c r="F138" s="178">
        <f>IF(F133="LBS",M160-2-(VLOOKUP(L140,AR16:AY39,8,FALSE)),VLOOKUP(L140,AR16:AY39,6,FALSE)-VLOOKUP(L140,AR16:AY39,8,FALSE))</f>
        <v>50.989599999999996</v>
      </c>
      <c r="G138" t="s">
        <v>163</v>
      </c>
      <c r="H138" t="s">
        <v>322</v>
      </c>
      <c r="I138" s="33"/>
      <c r="J138" s="96"/>
      <c r="K138" s="96"/>
      <c r="L138" s="302"/>
      <c r="M138" s="302"/>
      <c r="N138" s="96"/>
      <c r="O138" s="96"/>
      <c r="P138" s="96"/>
      <c r="Q138" s="96"/>
      <c r="R138" s="96"/>
      <c r="S138" s="96"/>
      <c r="T138" s="96"/>
      <c r="U138" s="96"/>
      <c r="V138" s="33"/>
      <c r="W138" s="15" t="s">
        <v>240</v>
      </c>
      <c r="X138" s="21">
        <f>K204*K202*K205</f>
        <v>1.1499999999999999</v>
      </c>
    </row>
    <row r="139" spans="4:26" ht="14.25" x14ac:dyDescent="0.2">
      <c r="F139" s="16">
        <f>F138/25.4</f>
        <v>2.007464566929134</v>
      </c>
      <c r="G139" t="s">
        <v>193</v>
      </c>
      <c r="I139" s="33"/>
      <c r="J139" s="127"/>
      <c r="K139" s="306"/>
      <c r="L139" s="303"/>
      <c r="M139" s="307"/>
      <c r="N139" s="96"/>
      <c r="O139" s="277"/>
      <c r="P139" s="96"/>
      <c r="Q139" s="96"/>
      <c r="R139" s="96"/>
      <c r="S139" s="96"/>
      <c r="T139" s="96"/>
      <c r="U139" s="96"/>
      <c r="V139" s="33"/>
      <c r="W139" s="15" t="s">
        <v>239</v>
      </c>
      <c r="X139" s="21">
        <f>K204*K205*K203</f>
        <v>1</v>
      </c>
    </row>
    <row r="140" spans="4:26" ht="14.25" x14ac:dyDescent="0.2">
      <c r="D140" s="165" t="s">
        <v>324</v>
      </c>
      <c r="F140" s="178">
        <f>F137*F139</f>
        <v>299.11222047244098</v>
      </c>
      <c r="G140" t="s">
        <v>309</v>
      </c>
      <c r="I140" s="33"/>
      <c r="J140" s="192" t="s">
        <v>332</v>
      </c>
      <c r="K140" s="303"/>
      <c r="L140" s="448" t="s">
        <v>533</v>
      </c>
      <c r="M140" s="448"/>
      <c r="N140" s="275">
        <f>(VLOOKUP(L140,AR16:BA39,10,FALSE))</f>
        <v>0</v>
      </c>
      <c r="O140" s="96"/>
      <c r="P140" s="96"/>
      <c r="Q140" s="96"/>
      <c r="R140" s="96"/>
      <c r="S140" s="96"/>
      <c r="T140" s="96"/>
      <c r="U140" s="96"/>
      <c r="V140" s="33"/>
      <c r="W140" s="15" t="s">
        <v>301</v>
      </c>
      <c r="X140" s="17">
        <f>P207*P206*P204*P205*P202</f>
        <v>1.7263999999999999</v>
      </c>
    </row>
    <row r="141" spans="4:26" ht="14.25" x14ac:dyDescent="0.2">
      <c r="I141" s="33"/>
      <c r="J141" s="253" t="s">
        <v>496</v>
      </c>
      <c r="K141" s="96"/>
      <c r="L141" s="449">
        <f>(VLOOKUP(L125,AA16:AD42,4,FALSE))/2</f>
        <v>12</v>
      </c>
      <c r="M141" s="449"/>
      <c r="N141" s="308" t="str">
        <f>IF(AND(N125="LOCK T MIDI",M145&lt;=5),"INCREASE SCREW DIAMETER. The holes in the connector plate are too big for this screw.",IF(AND(N125="LOCK T MINI",M145&gt;=7),"DECREASE SCREW DIAMTER. The holes in the connector plate are too small for this screw.",""))</f>
        <v/>
      </c>
      <c r="O141" s="96"/>
      <c r="P141" s="96"/>
      <c r="Q141" s="96"/>
      <c r="R141" s="96"/>
      <c r="S141" s="96"/>
      <c r="T141" s="96"/>
      <c r="U141" s="96"/>
      <c r="V141" s="33"/>
      <c r="W141" s="15" t="s">
        <v>302</v>
      </c>
      <c r="X141" s="17">
        <f>K205*K204*P204*P205*P203</f>
        <v>1.7263999999999999</v>
      </c>
    </row>
    <row r="142" spans="4:26" ht="14.25" x14ac:dyDescent="0.2">
      <c r="I142" s="33"/>
      <c r="J142" s="253"/>
      <c r="K142" s="249"/>
      <c r="L142" s="289"/>
      <c r="M142" s="289"/>
      <c r="N142" s="308"/>
      <c r="O142" s="249"/>
      <c r="P142" s="96"/>
      <c r="Q142" s="96"/>
      <c r="R142" s="96"/>
      <c r="S142" s="96"/>
      <c r="T142" s="96"/>
      <c r="U142" s="96"/>
      <c r="V142" s="33"/>
      <c r="X142" s="16"/>
    </row>
    <row r="143" spans="4:26" ht="14.25" x14ac:dyDescent="0.2">
      <c r="D143" t="s">
        <v>354</v>
      </c>
      <c r="I143" s="33"/>
      <c r="J143" s="96" t="s">
        <v>495</v>
      </c>
      <c r="K143" s="96"/>
      <c r="L143" s="96"/>
      <c r="M143" s="96"/>
      <c r="N143" s="96"/>
      <c r="O143" s="96"/>
      <c r="P143" s="96"/>
      <c r="Q143" s="96"/>
      <c r="R143" s="96"/>
      <c r="S143" s="96"/>
      <c r="T143" s="96"/>
      <c r="U143" s="96"/>
      <c r="V143" s="33"/>
    </row>
    <row r="144" spans="4:26" ht="14.25" x14ac:dyDescent="0.2">
      <c r="D144" t="s">
        <v>353</v>
      </c>
      <c r="F144" s="178">
        <f>(F140*E113)/((F140*COS(F129)^2)+(E113*SIN(F129)^2))</f>
        <v>246.02841738398249</v>
      </c>
      <c r="G144" t="s">
        <v>135</v>
      </c>
      <c r="H144" t="s">
        <v>325</v>
      </c>
      <c r="I144" s="33"/>
      <c r="J144" s="39"/>
      <c r="K144" s="96"/>
      <c r="L144" s="252" t="s">
        <v>11</v>
      </c>
      <c r="M144" s="252" t="s">
        <v>10</v>
      </c>
      <c r="N144" s="96"/>
      <c r="O144" s="96"/>
      <c r="P144" s="96"/>
      <c r="Q144" s="97"/>
      <c r="R144" s="96"/>
      <c r="S144" s="96"/>
      <c r="T144" s="96"/>
      <c r="U144" s="96"/>
      <c r="V144" s="33"/>
    </row>
    <row r="145" spans="1:28" ht="14.25" x14ac:dyDescent="0.2">
      <c r="I145" s="33"/>
      <c r="J145" s="248" t="s">
        <v>333</v>
      </c>
      <c r="K145" s="96"/>
      <c r="L145" s="309">
        <f>M145/25.4</f>
        <v>0.27559055118110237</v>
      </c>
      <c r="M145" s="289">
        <f>VLOOKUP(L140,AR16:AT39,3,FALSE)</f>
        <v>7</v>
      </c>
      <c r="N145" s="96"/>
      <c r="O145" s="96"/>
      <c r="P145" s="96"/>
      <c r="Q145" s="96"/>
      <c r="R145" s="96"/>
      <c r="S145" s="96"/>
      <c r="T145" s="96"/>
      <c r="U145" s="96"/>
      <c r="V145" s="33"/>
      <c r="W145" s="191"/>
      <c r="X145" s="238" t="s">
        <v>441</v>
      </c>
    </row>
    <row r="146" spans="1:28" ht="14.25" x14ac:dyDescent="0.2">
      <c r="D146" t="s">
        <v>355</v>
      </c>
      <c r="G146" s="178"/>
      <c r="I146" s="33"/>
      <c r="J146" s="248" t="s">
        <v>335</v>
      </c>
      <c r="K146" s="96"/>
      <c r="L146" s="310">
        <f>VLOOKUP(L140,AR16:AX39,7,FALSE)</f>
        <v>0.17299999999999999</v>
      </c>
      <c r="M146" s="258">
        <f>L146*25.4</f>
        <v>4.3941999999999997</v>
      </c>
      <c r="N146" s="96"/>
      <c r="O146" s="96"/>
      <c r="P146" s="96"/>
      <c r="Q146" s="96"/>
      <c r="R146" s="96"/>
      <c r="S146" s="96"/>
      <c r="T146" s="96"/>
      <c r="U146" s="96"/>
      <c r="V146" s="33"/>
      <c r="W146" s="191"/>
      <c r="X146" s="238" t="str">
        <f>VLOOKUP(L140,AR16:AS39,2,FALSE)</f>
        <v>LBS</v>
      </c>
      <c r="Y146" s="3"/>
      <c r="Z146" s="3"/>
      <c r="AA146" s="3"/>
      <c r="AB146" s="3"/>
    </row>
    <row r="147" spans="1:28" ht="14.25" x14ac:dyDescent="0.2">
      <c r="D147" s="173" t="s">
        <v>388</v>
      </c>
      <c r="F147" s="228">
        <f>COS(F129)*F144*F122</f>
        <v>2741.1798100370097</v>
      </c>
      <c r="G147" t="s">
        <v>135</v>
      </c>
      <c r="I147" s="33"/>
      <c r="J147" s="248" t="s">
        <v>334</v>
      </c>
      <c r="K147" s="96"/>
      <c r="L147" s="262">
        <f>M147/25.4</f>
        <v>2.3622047244094491</v>
      </c>
      <c r="M147" s="289">
        <f>(VLOOKUP(L140,AR16:AV39,5,FALSE))</f>
        <v>60</v>
      </c>
      <c r="N147" s="275"/>
      <c r="O147" s="96"/>
      <c r="P147" s="96"/>
      <c r="Q147" s="96"/>
      <c r="R147" s="96"/>
      <c r="S147" s="96"/>
      <c r="T147" s="96"/>
      <c r="U147" s="96"/>
      <c r="V147" s="33"/>
      <c r="Y147" s="2"/>
      <c r="Z147" s="16"/>
      <c r="AA147" s="2"/>
      <c r="AB147" s="16"/>
    </row>
    <row r="148" spans="1:28" ht="14.25" x14ac:dyDescent="0.2">
      <c r="A148" s="1" t="s">
        <v>425</v>
      </c>
      <c r="D148" s="165"/>
      <c r="I148" s="33"/>
      <c r="J148" s="248"/>
      <c r="K148" s="96"/>
      <c r="L148" s="289"/>
      <c r="M148" s="309"/>
      <c r="N148" s="275"/>
      <c r="O148" s="96"/>
      <c r="P148" s="96"/>
      <c r="Q148" s="96"/>
      <c r="R148" s="96"/>
      <c r="S148" s="96"/>
      <c r="T148" s="96"/>
      <c r="U148" s="96"/>
      <c r="V148" s="33"/>
      <c r="Y148" s="2"/>
      <c r="Z148" s="16"/>
      <c r="AA148" s="2"/>
      <c r="AB148" s="16"/>
    </row>
    <row r="149" spans="1:28" ht="15.75" x14ac:dyDescent="0.2">
      <c r="A149" t="s">
        <v>347</v>
      </c>
      <c r="B149" s="43">
        <f>1/SQRT((1/F122/E113)^2+(1/F117/F140)^2)</f>
        <v>2734.2989042771451</v>
      </c>
      <c r="D149" s="46"/>
      <c r="F149" s="38"/>
      <c r="I149" s="33"/>
      <c r="J149" s="311"/>
      <c r="K149" s="96"/>
      <c r="L149" s="252" t="s">
        <v>23</v>
      </c>
      <c r="M149" s="252" t="s">
        <v>501</v>
      </c>
      <c r="N149" s="275"/>
      <c r="O149" s="96"/>
      <c r="P149" s="96"/>
      <c r="Q149" s="96"/>
      <c r="R149" s="96"/>
      <c r="S149" s="96"/>
      <c r="T149" s="96"/>
      <c r="U149" s="96"/>
      <c r="V149" s="33"/>
      <c r="Y149" s="2"/>
      <c r="Z149" s="16"/>
      <c r="AA149" s="2"/>
      <c r="AB149" s="16"/>
    </row>
    <row r="150" spans="1:28" ht="17.25" x14ac:dyDescent="0.3">
      <c r="A150" t="s">
        <v>349</v>
      </c>
      <c r="B150" s="43">
        <f>COS(F129)*F144*F122</f>
        <v>2741.1798100370097</v>
      </c>
      <c r="F150" s="38"/>
      <c r="I150" s="33"/>
      <c r="J150" s="248" t="s">
        <v>502</v>
      </c>
      <c r="K150" s="96"/>
      <c r="L150" s="267">
        <f>(VLOOKUP(L140,AR16:AZ39,9,FALSE))</f>
        <v>192000</v>
      </c>
      <c r="M150" s="267">
        <f>L150/145.03773772954</f>
        <v>1323.7934002944335</v>
      </c>
      <c r="N150" s="96"/>
      <c r="O150" s="96"/>
      <c r="P150" s="96"/>
      <c r="Q150" s="96"/>
      <c r="R150" s="96"/>
      <c r="S150" s="96"/>
      <c r="T150" s="96"/>
      <c r="U150" s="96"/>
      <c r="V150" s="33"/>
      <c r="Y150" s="2"/>
      <c r="Z150" s="16"/>
      <c r="AA150" s="2"/>
      <c r="AB150" s="16"/>
    </row>
    <row r="151" spans="1:28" ht="14.25" x14ac:dyDescent="0.2">
      <c r="D151" s="46"/>
      <c r="E151" s="181"/>
      <c r="F151" s="38"/>
      <c r="I151" s="33"/>
      <c r="J151" s="96"/>
      <c r="K151" s="96"/>
      <c r="L151" s="96"/>
      <c r="M151" s="96"/>
      <c r="N151" s="96"/>
      <c r="O151" s="96"/>
      <c r="P151" s="96"/>
      <c r="Q151" s="96"/>
      <c r="R151" s="96"/>
      <c r="S151" s="96"/>
      <c r="T151" s="96"/>
      <c r="U151" s="96"/>
      <c r="V151" s="33"/>
      <c r="Y151" s="3"/>
      <c r="Z151" s="3"/>
      <c r="AA151" s="3"/>
      <c r="AB151" s="3"/>
    </row>
    <row r="152" spans="1:28" ht="14.25" x14ac:dyDescent="0.2">
      <c r="A152" t="s">
        <v>348</v>
      </c>
      <c r="B152" s="27">
        <f>F127/F144</f>
        <v>0.46065190247553672</v>
      </c>
      <c r="D152" s="38"/>
      <c r="E152" s="181"/>
      <c r="F152" s="38"/>
      <c r="I152" s="33"/>
      <c r="J152" s="249"/>
      <c r="K152" s="96"/>
      <c r="L152" s="96"/>
      <c r="M152" s="249"/>
      <c r="N152" s="96"/>
      <c r="O152" s="96"/>
      <c r="P152" s="96"/>
      <c r="Q152" s="96"/>
      <c r="R152" s="96"/>
      <c r="S152" s="96"/>
      <c r="T152" s="96"/>
      <c r="U152" s="96"/>
      <c r="V152" s="33"/>
      <c r="Y152" s="2"/>
      <c r="Z152" s="16"/>
      <c r="AA152" s="2"/>
      <c r="AB152" s="16"/>
    </row>
    <row r="153" spans="1:28" ht="14.25" x14ac:dyDescent="0.2">
      <c r="A153" t="s">
        <v>351</v>
      </c>
      <c r="B153" s="27">
        <f>M71/B149</f>
        <v>0.46181114015949226</v>
      </c>
      <c r="D153" s="38"/>
      <c r="E153" s="181"/>
      <c r="F153" s="38"/>
      <c r="I153" s="33"/>
      <c r="J153" s="192" t="s">
        <v>337</v>
      </c>
      <c r="K153" s="250"/>
      <c r="L153" s="448" t="s">
        <v>533</v>
      </c>
      <c r="M153" s="448"/>
      <c r="N153" s="275">
        <f>(VLOOKUP(L153,AR16:BA39,10,FALSE))</f>
        <v>0</v>
      </c>
      <c r="O153" s="96"/>
      <c r="P153" s="96"/>
      <c r="Q153" s="96"/>
      <c r="R153" s="96"/>
      <c r="S153" s="96"/>
      <c r="T153" s="96"/>
      <c r="U153" s="96"/>
      <c r="V153" s="96"/>
      <c r="Y153" s="2"/>
      <c r="Z153" s="16"/>
      <c r="AA153" s="189"/>
      <c r="AB153" s="190"/>
    </row>
    <row r="154" spans="1:28" ht="14.25" x14ac:dyDescent="0.2">
      <c r="A154" t="s">
        <v>350</v>
      </c>
      <c r="B154" s="27">
        <f>M71/B150</f>
        <v>0.46065190247553667</v>
      </c>
      <c r="D154" s="38"/>
      <c r="E154" s="181"/>
      <c r="F154" s="38"/>
      <c r="I154" s="33"/>
      <c r="J154" s="253" t="s">
        <v>496</v>
      </c>
      <c r="K154" s="249"/>
      <c r="L154" s="451">
        <f>L141</f>
        <v>12</v>
      </c>
      <c r="M154" s="451"/>
      <c r="N154" s="308" t="str">
        <f>IF(AND(N125="LOCK T MIDI",M158&lt;=5),"INCREASE SCREW DIAMETER. The holes in the connector plate are too big for this screw.",IF(AND(N125="LOCK T MINI",M158&gt;=7),"DECREASE SCREW DIAMETER. The holes in the connector plate are too small for this screw.",""))</f>
        <v/>
      </c>
      <c r="O154" s="96"/>
      <c r="P154" s="96"/>
      <c r="Q154" s="96"/>
      <c r="R154" s="96"/>
      <c r="S154" s="96"/>
      <c r="T154" s="96"/>
      <c r="U154" s="96"/>
      <c r="V154" s="96"/>
    </row>
    <row r="155" spans="1:28" ht="14.25" x14ac:dyDescent="0.2">
      <c r="B155" s="27"/>
      <c r="D155" s="38"/>
      <c r="E155" s="181"/>
      <c r="F155" s="38"/>
      <c r="I155" s="33"/>
      <c r="J155" s="253"/>
      <c r="K155" s="96"/>
      <c r="L155" s="289"/>
      <c r="M155" s="289"/>
      <c r="N155" s="308"/>
      <c r="O155" s="96"/>
      <c r="P155" s="96"/>
      <c r="Q155" s="96"/>
      <c r="R155" s="96"/>
      <c r="S155" s="96"/>
      <c r="T155" s="96"/>
      <c r="U155" s="96"/>
      <c r="V155" s="96"/>
    </row>
    <row r="156" spans="1:28" ht="14.25" x14ac:dyDescent="0.2">
      <c r="D156" s="38"/>
      <c r="E156" s="181"/>
      <c r="F156" s="38"/>
      <c r="G156" s="16"/>
      <c r="I156" s="33"/>
      <c r="J156" s="96" t="s">
        <v>495</v>
      </c>
      <c r="K156" s="250"/>
      <c r="L156" s="96"/>
      <c r="M156" s="96"/>
      <c r="N156" s="96"/>
      <c r="O156" s="96"/>
      <c r="P156" s="96"/>
      <c r="Q156" s="96"/>
      <c r="R156" s="96"/>
      <c r="S156" s="96"/>
      <c r="T156" s="96"/>
      <c r="U156" s="96"/>
      <c r="V156" s="96"/>
    </row>
    <row r="157" spans="1:28" ht="14.25" x14ac:dyDescent="0.2">
      <c r="D157" s="38"/>
      <c r="E157" s="181"/>
      <c r="F157" s="38"/>
      <c r="G157" s="16"/>
      <c r="I157" s="33"/>
      <c r="J157" s="127"/>
      <c r="K157" s="96"/>
      <c r="L157" s="252" t="s">
        <v>11</v>
      </c>
      <c r="M157" s="252" t="s">
        <v>10</v>
      </c>
      <c r="N157" s="96"/>
      <c r="O157" s="96"/>
      <c r="P157" s="96"/>
      <c r="Q157" s="96"/>
      <c r="R157" s="96"/>
      <c r="S157" s="96"/>
      <c r="T157" s="96"/>
      <c r="U157" s="96"/>
      <c r="V157" s="96"/>
      <c r="X157" s="24" t="s">
        <v>441</v>
      </c>
    </row>
    <row r="158" spans="1:28" ht="14.25" x14ac:dyDescent="0.2">
      <c r="D158" s="46"/>
      <c r="E158" s="181"/>
      <c r="F158" s="38"/>
      <c r="G158" s="16"/>
      <c r="I158" s="33"/>
      <c r="J158" s="248" t="s">
        <v>333</v>
      </c>
      <c r="K158" s="96"/>
      <c r="L158" s="309">
        <f>M158/25.4</f>
        <v>0.27559055118110237</v>
      </c>
      <c r="M158" s="252">
        <f>(VLOOKUP(L153,AR16:AT39,3,FALSE))</f>
        <v>7</v>
      </c>
      <c r="N158" s="275"/>
      <c r="O158" s="96"/>
      <c r="P158" s="96"/>
      <c r="Q158" s="96"/>
      <c r="R158" s="96"/>
      <c r="S158" s="96"/>
      <c r="T158" s="96"/>
      <c r="U158" s="96"/>
      <c r="V158" s="96"/>
      <c r="X158" s="236" t="str">
        <f>VLOOKUP(L153,AR16:AS39,2,FALSE)</f>
        <v>LBS</v>
      </c>
    </row>
    <row r="159" spans="1:28" ht="14.25" x14ac:dyDescent="0.2">
      <c r="E159" s="193" t="s">
        <v>267</v>
      </c>
      <c r="F159" s="32"/>
      <c r="G159" s="16"/>
      <c r="I159" s="33"/>
      <c r="J159" s="248" t="s">
        <v>335</v>
      </c>
      <c r="K159" s="96"/>
      <c r="L159" s="312">
        <f>VLOOKUP(L153,AR16:AX39,7,FALSE)</f>
        <v>0.17299999999999999</v>
      </c>
      <c r="M159" s="258">
        <f>L159*25.4</f>
        <v>4.3941999999999997</v>
      </c>
      <c r="N159" s="249"/>
      <c r="O159" s="96"/>
      <c r="P159" s="96"/>
      <c r="Q159" s="96"/>
      <c r="R159" s="96"/>
      <c r="S159" s="96"/>
      <c r="T159" s="96"/>
      <c r="U159" s="96"/>
      <c r="V159" s="96"/>
      <c r="X159" s="1"/>
    </row>
    <row r="160" spans="1:28" ht="15" x14ac:dyDescent="0.2">
      <c r="E160" t="s">
        <v>268</v>
      </c>
      <c r="F160" s="32"/>
      <c r="G160" s="16"/>
      <c r="I160" s="33"/>
      <c r="J160" s="248" t="s">
        <v>334</v>
      </c>
      <c r="K160" s="96"/>
      <c r="L160" s="262">
        <f>M160/25.4</f>
        <v>2.3622047244094491</v>
      </c>
      <c r="M160" s="252">
        <f>(VLOOKUP(L153,AR16:AV39,5,FALSE))</f>
        <v>60</v>
      </c>
      <c r="N160" s="275"/>
      <c r="O160" s="96"/>
      <c r="P160" s="96"/>
      <c r="Q160" s="96"/>
      <c r="R160" s="96"/>
      <c r="S160" s="96"/>
      <c r="T160" s="96"/>
      <c r="U160" s="96"/>
      <c r="V160" s="96"/>
      <c r="X160" s="183"/>
      <c r="Y160" s="184"/>
    </row>
    <row r="161" spans="5:39" ht="15" x14ac:dyDescent="0.25">
      <c r="F161" s="32"/>
      <c r="G161" s="16"/>
      <c r="I161" s="33"/>
      <c r="J161" s="127"/>
      <c r="K161" s="250"/>
      <c r="L161" s="96"/>
      <c r="M161" s="96"/>
      <c r="N161" s="96"/>
      <c r="O161" s="96"/>
      <c r="P161" s="96"/>
      <c r="Q161" s="96"/>
      <c r="R161" s="96"/>
      <c r="S161" s="96"/>
      <c r="T161" s="96"/>
      <c r="U161" s="96"/>
      <c r="V161" s="96"/>
      <c r="X161" s="185"/>
      <c r="Y161" s="185"/>
    </row>
    <row r="162" spans="5:39" ht="16.5" x14ac:dyDescent="0.25">
      <c r="F162" s="32"/>
      <c r="G162" s="16"/>
      <c r="I162" s="40"/>
      <c r="J162" s="127"/>
      <c r="K162" s="250"/>
      <c r="L162" s="252" t="s">
        <v>23</v>
      </c>
      <c r="M162" s="252" t="s">
        <v>501</v>
      </c>
      <c r="N162" s="96"/>
      <c r="O162" s="96"/>
      <c r="P162" s="96"/>
      <c r="Q162" s="96"/>
      <c r="R162" s="96"/>
      <c r="S162" s="96"/>
      <c r="T162" s="96"/>
      <c r="U162" s="96"/>
      <c r="V162" s="96"/>
      <c r="X162" s="185"/>
      <c r="Y162" s="185"/>
    </row>
    <row r="163" spans="5:39" ht="17.25" x14ac:dyDescent="0.3">
      <c r="F163" s="32"/>
      <c r="G163" s="16"/>
      <c r="I163" s="40"/>
      <c r="J163" s="248" t="s">
        <v>502</v>
      </c>
      <c r="K163" s="96"/>
      <c r="L163" s="267">
        <f>VLOOKUP(L153,AR16:AZ39,9,FALSE)</f>
        <v>192000</v>
      </c>
      <c r="M163" s="267">
        <f>L163/145.03773772954</f>
        <v>1323.7934002944335</v>
      </c>
      <c r="N163" s="96"/>
      <c r="O163" s="96"/>
      <c r="P163" s="96"/>
      <c r="Q163" s="96"/>
      <c r="R163" s="96"/>
      <c r="S163" s="96"/>
      <c r="T163" s="96"/>
      <c r="U163" s="96"/>
      <c r="V163" s="33"/>
      <c r="X163" s="185"/>
      <c r="Y163" s="185"/>
    </row>
    <row r="164" spans="5:39" ht="15" x14ac:dyDescent="0.25">
      <c r="F164" s="32"/>
      <c r="G164" s="16"/>
      <c r="I164" s="40"/>
      <c r="J164" s="96"/>
      <c r="K164" s="96"/>
      <c r="L164" s="96"/>
      <c r="M164" s="96"/>
      <c r="N164" s="96"/>
      <c r="O164" s="96"/>
      <c r="P164" s="96"/>
      <c r="Q164" s="96"/>
      <c r="R164" s="96"/>
      <c r="S164" s="96"/>
      <c r="T164" s="96"/>
      <c r="U164" s="96"/>
      <c r="V164" s="33"/>
      <c r="X164" s="185"/>
      <c r="Y164" s="185"/>
    </row>
    <row r="165" spans="5:39" ht="15" x14ac:dyDescent="0.25">
      <c r="F165" s="32"/>
      <c r="G165" s="16"/>
      <c r="I165" s="33"/>
      <c r="J165" s="39" t="s">
        <v>373</v>
      </c>
      <c r="K165" s="96"/>
      <c r="L165" s="96"/>
      <c r="M165" s="96"/>
      <c r="N165" s="96"/>
      <c r="O165" s="96"/>
      <c r="P165" s="96"/>
      <c r="Q165" s="96"/>
      <c r="R165" s="96"/>
      <c r="S165" s="96"/>
      <c r="T165" s="96"/>
      <c r="U165" s="96"/>
      <c r="V165" s="33"/>
      <c r="X165" s="185"/>
      <c r="Y165" s="185"/>
    </row>
    <row r="166" spans="5:39" ht="15" x14ac:dyDescent="0.25">
      <c r="F166" s="32"/>
      <c r="G166" s="16"/>
      <c r="I166" s="33"/>
      <c r="J166" s="39" t="s">
        <v>374</v>
      </c>
      <c r="K166" s="96"/>
      <c r="L166" s="96"/>
      <c r="M166" s="96"/>
      <c r="N166" s="96"/>
      <c r="O166" s="96"/>
      <c r="P166" s="96"/>
      <c r="Q166" s="96"/>
      <c r="R166" s="96"/>
      <c r="S166" s="96"/>
      <c r="T166" s="96"/>
      <c r="U166" s="96"/>
      <c r="V166" s="33"/>
      <c r="W166" s="33"/>
      <c r="X166" s="47"/>
      <c r="Y166" s="196"/>
      <c r="Z166" s="196"/>
      <c r="AA166" s="126"/>
      <c r="AB166" s="126"/>
      <c r="AC166" s="33"/>
      <c r="AD166" s="33"/>
      <c r="AE166" s="33"/>
      <c r="AF166" s="33"/>
      <c r="AG166" s="33"/>
      <c r="AI166" s="33"/>
      <c r="AJ166" s="33"/>
      <c r="AL166" s="185"/>
      <c r="AM166" s="185"/>
    </row>
    <row r="167" spans="5:39" ht="15" x14ac:dyDescent="0.25">
      <c r="F167" s="32"/>
      <c r="G167" s="16"/>
      <c r="I167" s="33"/>
      <c r="J167" s="96" t="s">
        <v>375</v>
      </c>
      <c r="K167" s="96"/>
      <c r="L167" s="96"/>
      <c r="M167" s="96"/>
      <c r="N167" s="96"/>
      <c r="O167" s="96"/>
      <c r="P167" s="96"/>
      <c r="Q167" s="96"/>
      <c r="R167" s="96"/>
      <c r="S167" s="96"/>
      <c r="T167" s="96"/>
      <c r="U167" s="96"/>
      <c r="V167" s="33"/>
      <c r="X167" s="185"/>
      <c r="Y167" s="185"/>
    </row>
    <row r="168" spans="5:39" ht="15" x14ac:dyDescent="0.25">
      <c r="F168" s="32"/>
      <c r="G168" s="16"/>
      <c r="I168" s="33"/>
      <c r="J168" s="197" t="s">
        <v>341</v>
      </c>
      <c r="K168" s="411" t="s">
        <v>377</v>
      </c>
      <c r="L168" s="412"/>
      <c r="M168" s="411" t="s">
        <v>340</v>
      </c>
      <c r="N168" s="412"/>
      <c r="O168" s="96"/>
      <c r="P168" s="39"/>
      <c r="Q168" s="96"/>
      <c r="R168" s="96"/>
      <c r="S168" s="96"/>
      <c r="T168" s="96"/>
      <c r="U168" s="96"/>
      <c r="V168" s="33"/>
      <c r="X168" s="185"/>
      <c r="Y168" s="185"/>
      <c r="AH168" s="33"/>
    </row>
    <row r="169" spans="5:39" ht="17.25" x14ac:dyDescent="0.3">
      <c r="F169" s="32"/>
      <c r="G169" s="16"/>
      <c r="I169" s="33"/>
      <c r="J169" s="313" t="s">
        <v>503</v>
      </c>
      <c r="K169" s="408">
        <f t="shared" ref="K169:K174" si="18">E106</f>
        <v>699.92215322865388</v>
      </c>
      <c r="L169" s="409"/>
      <c r="M169" s="406">
        <f>K169*4.448221615255/1000</f>
        <v>3.1134088509875206</v>
      </c>
      <c r="N169" s="407"/>
      <c r="O169" s="96"/>
      <c r="P169" s="96"/>
      <c r="Q169" s="96"/>
      <c r="R169" s="96"/>
      <c r="S169" s="96"/>
      <c r="T169" s="96"/>
      <c r="U169" s="96"/>
      <c r="V169" s="33"/>
      <c r="X169" s="185"/>
      <c r="Y169" s="185"/>
    </row>
    <row r="170" spans="5:39" ht="17.25" x14ac:dyDescent="0.3">
      <c r="F170" s="32"/>
      <c r="G170" s="16"/>
      <c r="I170" s="33"/>
      <c r="J170" s="313" t="s">
        <v>504</v>
      </c>
      <c r="K170" s="408">
        <f t="shared" si="18"/>
        <v>725.3892871014441</v>
      </c>
      <c r="L170" s="409"/>
      <c r="M170" s="406">
        <f>K170*4.448221615255/1000</f>
        <v>3.2266923063590585</v>
      </c>
      <c r="N170" s="407"/>
      <c r="O170" s="96"/>
      <c r="P170" s="96"/>
      <c r="Q170" s="96"/>
      <c r="R170" s="96"/>
      <c r="S170" s="96"/>
      <c r="T170" s="96"/>
      <c r="U170" s="96"/>
      <c r="V170" s="33"/>
      <c r="X170" s="185"/>
      <c r="Y170" s="185"/>
    </row>
    <row r="171" spans="5:39" ht="15" x14ac:dyDescent="0.25">
      <c r="F171" s="32"/>
      <c r="G171" s="16"/>
      <c r="I171" s="33"/>
      <c r="J171" s="313" t="s">
        <v>37</v>
      </c>
      <c r="K171" s="408">
        <f t="shared" si="18"/>
        <v>290.84977283555344</v>
      </c>
      <c r="L171" s="409"/>
      <c r="M171" s="406">
        <f t="shared" ref="M171:M172" si="19">K171*4.448221615255/1000</f>
        <v>1.2937642463191152</v>
      </c>
      <c r="N171" s="407"/>
      <c r="O171" s="96"/>
      <c r="P171" s="275"/>
      <c r="Q171" s="96"/>
      <c r="R171" s="96"/>
      <c r="S171" s="96"/>
      <c r="T171" s="96"/>
      <c r="U171" s="96"/>
      <c r="V171" s="33"/>
      <c r="X171" s="185"/>
      <c r="Y171" s="185"/>
    </row>
    <row r="172" spans="5:39" ht="17.25" x14ac:dyDescent="0.3">
      <c r="F172" s="32"/>
      <c r="G172" s="16"/>
      <c r="I172" s="33"/>
      <c r="J172" s="313" t="s">
        <v>505</v>
      </c>
      <c r="K172" s="408">
        <f t="shared" si="18"/>
        <v>330.71465065543407</v>
      </c>
      <c r="L172" s="409"/>
      <c r="M172" s="406">
        <f t="shared" si="19"/>
        <v>1.4710920575270079</v>
      </c>
      <c r="N172" s="407"/>
      <c r="O172" s="96"/>
      <c r="P172" s="275"/>
      <c r="Q172" s="96"/>
      <c r="R172" s="96"/>
      <c r="S172" s="96"/>
      <c r="T172" s="96"/>
      <c r="U172" s="96"/>
      <c r="V172" s="33"/>
      <c r="X172" s="185"/>
      <c r="Y172" s="185"/>
    </row>
    <row r="173" spans="5:39" ht="17.25" x14ac:dyDescent="0.3">
      <c r="E173" s="193" t="s">
        <v>423</v>
      </c>
      <c r="F173" s="32"/>
      <c r="G173" s="16"/>
      <c r="I173" s="33"/>
      <c r="J173" s="313" t="s">
        <v>506</v>
      </c>
      <c r="K173" s="408">
        <f t="shared" si="18"/>
        <v>239.23523919334815</v>
      </c>
      <c r="L173" s="409"/>
      <c r="M173" s="406">
        <f t="shared" ref="M173" si="20">K173*4.448221615255/1000</f>
        <v>1.0641713621105513</v>
      </c>
      <c r="N173" s="407"/>
      <c r="O173" s="96"/>
      <c r="P173" s="275"/>
      <c r="Q173" s="96"/>
      <c r="R173" s="96"/>
      <c r="S173" s="96"/>
      <c r="T173" s="96"/>
      <c r="U173" s="96"/>
      <c r="V173" s="33"/>
      <c r="X173" s="185"/>
      <c r="Y173" s="185"/>
    </row>
    <row r="174" spans="5:39" ht="15" x14ac:dyDescent="0.25">
      <c r="E174" t="s">
        <v>424</v>
      </c>
      <c r="F174" s="32"/>
      <c r="G174" s="16"/>
      <c r="I174" s="33"/>
      <c r="J174" s="313" t="s">
        <v>42</v>
      </c>
      <c r="K174" s="408">
        <f t="shared" si="18"/>
        <v>306.8368196769963</v>
      </c>
      <c r="L174" s="409"/>
      <c r="M174" s="406">
        <f>K174*4.448221615255/1000</f>
        <v>1.3648781736433158</v>
      </c>
      <c r="N174" s="407"/>
      <c r="O174" s="96"/>
      <c r="P174" s="96"/>
      <c r="Q174" s="96"/>
      <c r="R174" s="96"/>
      <c r="S174" s="96"/>
      <c r="T174" s="96"/>
      <c r="U174" s="96"/>
      <c r="V174" s="33"/>
      <c r="X174" s="185"/>
      <c r="Y174" s="185"/>
    </row>
    <row r="175" spans="5:39" ht="15" x14ac:dyDescent="0.25">
      <c r="F175" s="32"/>
      <c r="G175" s="16"/>
      <c r="I175" s="33"/>
      <c r="J175" s="96"/>
      <c r="K175" s="96"/>
      <c r="L175" s="96"/>
      <c r="M175" s="96"/>
      <c r="N175" s="96"/>
      <c r="O175" s="96"/>
      <c r="P175" s="96"/>
      <c r="Q175" s="96"/>
      <c r="R175" s="96"/>
      <c r="S175" s="96"/>
      <c r="T175" s="96"/>
      <c r="U175" s="96"/>
      <c r="V175" s="33"/>
      <c r="X175" s="185"/>
      <c r="Y175" s="185"/>
    </row>
    <row r="176" spans="5:39" ht="17.25" x14ac:dyDescent="0.3">
      <c r="G176" s="16"/>
      <c r="I176" s="33"/>
      <c r="J176" s="197" t="s">
        <v>507</v>
      </c>
      <c r="K176" s="420">
        <f>MIN(K169:L174)</f>
        <v>239.23523919334815</v>
      </c>
      <c r="L176" s="421"/>
      <c r="M176" s="413">
        <f>MIN(M169:N174)</f>
        <v>1.0641713621105513</v>
      </c>
      <c r="N176" s="414"/>
      <c r="O176" s="96"/>
      <c r="P176" s="96"/>
      <c r="Q176" s="96"/>
      <c r="R176" s="96"/>
      <c r="S176" s="96"/>
      <c r="T176" s="96"/>
      <c r="U176" s="96"/>
      <c r="V176" s="33"/>
      <c r="X176" s="185"/>
      <c r="Y176" s="185"/>
    </row>
    <row r="177" spans="6:39" ht="14.25" x14ac:dyDescent="0.2">
      <c r="G177" s="16"/>
      <c r="I177" s="33"/>
      <c r="J177" s="314"/>
      <c r="K177" s="315"/>
      <c r="L177" s="315"/>
      <c r="M177" s="316"/>
      <c r="N177" s="316"/>
      <c r="O177" s="96"/>
      <c r="P177" s="96"/>
      <c r="Q177" s="96"/>
      <c r="R177" s="96"/>
      <c r="S177" s="96"/>
      <c r="T177" s="96"/>
      <c r="U177" s="96"/>
      <c r="V177" s="33"/>
    </row>
    <row r="178" spans="6:39" ht="14.25" x14ac:dyDescent="0.2">
      <c r="F178" s="32"/>
      <c r="G178" s="16"/>
      <c r="I178" s="33"/>
      <c r="J178" s="96" t="s">
        <v>339</v>
      </c>
      <c r="K178" s="417" t="s">
        <v>376</v>
      </c>
      <c r="L178" s="417"/>
      <c r="M178" s="417" t="s">
        <v>378</v>
      </c>
      <c r="N178" s="417"/>
      <c r="O178" s="96"/>
      <c r="P178" s="96"/>
      <c r="Q178" s="96"/>
      <c r="R178" s="96"/>
      <c r="S178" s="96"/>
      <c r="T178" s="96"/>
      <c r="U178" s="96"/>
      <c r="V178" s="33"/>
    </row>
    <row r="179" spans="6:39" ht="14.25" x14ac:dyDescent="0.2">
      <c r="F179" s="32"/>
      <c r="G179" s="16"/>
      <c r="I179" s="22"/>
      <c r="J179" s="197" t="s">
        <v>319</v>
      </c>
      <c r="K179" s="418">
        <f>F137</f>
        <v>149</v>
      </c>
      <c r="L179" s="417"/>
      <c r="M179" s="419">
        <f>K179*0.177512684</f>
        <v>26.449389916000001</v>
      </c>
      <c r="N179" s="419"/>
      <c r="O179" s="96"/>
      <c r="P179" s="96"/>
      <c r="Q179" s="96"/>
      <c r="R179" s="96"/>
      <c r="S179" s="96"/>
      <c r="T179" s="96"/>
      <c r="U179" s="96"/>
      <c r="V179" s="33"/>
      <c r="W179" s="1"/>
    </row>
    <row r="180" spans="6:39" ht="14.25" x14ac:dyDescent="0.2">
      <c r="F180" s="32"/>
      <c r="G180" s="16"/>
      <c r="I180" s="22"/>
      <c r="J180" s="252"/>
      <c r="K180" s="317"/>
      <c r="L180" s="318"/>
      <c r="M180" s="316"/>
      <c r="N180" s="316"/>
      <c r="O180" s="96"/>
      <c r="P180" s="96"/>
      <c r="Q180" s="96"/>
      <c r="R180" s="96"/>
      <c r="S180" s="96"/>
      <c r="T180" s="96"/>
      <c r="U180" s="96"/>
      <c r="V180" s="33"/>
    </row>
    <row r="181" spans="6:39" ht="14.25" x14ac:dyDescent="0.2">
      <c r="F181" s="32"/>
      <c r="G181" s="16"/>
      <c r="I181" s="22"/>
      <c r="J181" s="96" t="s">
        <v>397</v>
      </c>
      <c r="K181" s="417" t="s">
        <v>358</v>
      </c>
      <c r="L181" s="417"/>
      <c r="M181" s="417" t="s">
        <v>66</v>
      </c>
      <c r="N181" s="417"/>
      <c r="O181" s="96"/>
      <c r="P181" s="96"/>
      <c r="Q181" s="96"/>
      <c r="R181" s="96"/>
      <c r="S181" s="96"/>
      <c r="T181" s="96"/>
      <c r="U181" s="96"/>
      <c r="V181" s="33"/>
    </row>
    <row r="182" spans="6:39" ht="17.25" x14ac:dyDescent="0.3">
      <c r="F182" s="32"/>
      <c r="G182" s="16"/>
      <c r="I182" s="33"/>
      <c r="J182" s="197" t="s">
        <v>508</v>
      </c>
      <c r="K182" s="415">
        <f>F144</f>
        <v>246.02841738398249</v>
      </c>
      <c r="L182" s="416"/>
      <c r="M182" s="413">
        <f>K182*4.448221615255/1000</f>
        <v>1.0943889241744098</v>
      </c>
      <c r="N182" s="414"/>
      <c r="O182" s="96"/>
      <c r="P182" s="96"/>
      <c r="Q182" s="96"/>
      <c r="R182" s="96"/>
      <c r="S182" s="96"/>
      <c r="T182" s="96"/>
      <c r="U182" s="96"/>
      <c r="V182" s="33"/>
    </row>
    <row r="183" spans="6:39" ht="14.25" x14ac:dyDescent="0.2">
      <c r="F183" s="32"/>
      <c r="G183" s="16"/>
      <c r="I183" s="33"/>
      <c r="J183" s="248" t="s">
        <v>379</v>
      </c>
      <c r="K183" s="319"/>
      <c r="L183" s="319"/>
      <c r="M183" s="316"/>
      <c r="N183" s="280">
        <f>F130</f>
        <v>21.801409486351812</v>
      </c>
      <c r="O183" s="96"/>
      <c r="P183" s="96"/>
      <c r="Q183" s="96"/>
      <c r="R183" s="96"/>
      <c r="S183" s="96"/>
      <c r="T183" s="96"/>
      <c r="U183" s="96"/>
      <c r="V183" s="33"/>
    </row>
    <row r="184" spans="6:39" ht="14.25" x14ac:dyDescent="0.2">
      <c r="F184" s="32"/>
      <c r="G184" s="16"/>
      <c r="I184" s="33"/>
      <c r="J184" s="96"/>
      <c r="K184" s="96"/>
      <c r="L184" s="96"/>
      <c r="M184" s="96"/>
      <c r="N184" s="96"/>
      <c r="O184" s="96"/>
      <c r="P184" s="96"/>
      <c r="Q184" s="96"/>
      <c r="R184" s="96"/>
      <c r="S184" s="96"/>
      <c r="T184" s="96"/>
      <c r="U184" s="96"/>
      <c r="V184" s="33"/>
    </row>
    <row r="185" spans="6:39" ht="14.25" x14ac:dyDescent="0.2">
      <c r="F185" s="32"/>
      <c r="G185" s="16"/>
      <c r="I185" s="33"/>
      <c r="J185" s="39" t="s">
        <v>383</v>
      </c>
      <c r="K185" s="96"/>
      <c r="L185" s="96"/>
      <c r="M185" s="96"/>
      <c r="N185" s="96"/>
      <c r="O185" s="96"/>
      <c r="P185" s="96"/>
      <c r="Q185" s="96"/>
      <c r="R185" s="96"/>
      <c r="S185" s="96"/>
      <c r="T185" s="96"/>
      <c r="U185" s="96"/>
      <c r="V185" s="33"/>
    </row>
    <row r="186" spans="6:39" ht="14.25" x14ac:dyDescent="0.2">
      <c r="F186" s="32"/>
      <c r="G186" s="16"/>
      <c r="I186" s="33"/>
      <c r="J186" s="96" t="s">
        <v>380</v>
      </c>
      <c r="K186" s="96"/>
      <c r="L186" s="96"/>
      <c r="M186" s="96"/>
      <c r="N186" s="96"/>
      <c r="O186" s="96"/>
      <c r="P186" s="96"/>
      <c r="Q186" s="96"/>
      <c r="R186" s="96"/>
      <c r="S186" s="96"/>
      <c r="T186" s="96"/>
      <c r="U186" s="96"/>
      <c r="V186" s="33"/>
    </row>
    <row r="187" spans="6:39" ht="14.25" x14ac:dyDescent="0.2">
      <c r="F187" s="32"/>
      <c r="G187" s="16"/>
      <c r="I187" s="33"/>
      <c r="J187" s="197" t="s">
        <v>29</v>
      </c>
      <c r="K187" s="411" t="s">
        <v>381</v>
      </c>
      <c r="L187" s="412"/>
      <c r="M187" s="411" t="s">
        <v>31</v>
      </c>
      <c r="N187" s="412"/>
      <c r="O187" s="96"/>
      <c r="P187" s="96"/>
      <c r="Q187" s="96"/>
      <c r="R187" s="96"/>
      <c r="S187" s="96"/>
      <c r="T187" s="96"/>
      <c r="U187" s="96"/>
      <c r="V187" s="33"/>
    </row>
    <row r="188" spans="6:39" ht="17.25" x14ac:dyDescent="0.3">
      <c r="F188" s="32"/>
      <c r="G188" s="16"/>
      <c r="I188" s="33"/>
      <c r="J188" s="320" t="s">
        <v>503</v>
      </c>
      <c r="K188" s="422">
        <f>E56*0.67</f>
        <v>375.15827413055854</v>
      </c>
      <c r="L188" s="423"/>
      <c r="M188" s="406">
        <f>F56*0.67</f>
        <v>1.668787144129311</v>
      </c>
      <c r="N188" s="407"/>
      <c r="O188" s="96"/>
      <c r="P188" s="96"/>
      <c r="Q188" s="96"/>
      <c r="R188" s="96"/>
      <c r="S188" s="96"/>
      <c r="T188" s="96"/>
      <c r="U188" s="96"/>
      <c r="V188" s="33"/>
    </row>
    <row r="189" spans="6:39" ht="17.25" x14ac:dyDescent="0.3">
      <c r="F189" s="32"/>
      <c r="G189" s="16"/>
      <c r="I189" s="33"/>
      <c r="J189" s="320" t="s">
        <v>504</v>
      </c>
      <c r="K189" s="422">
        <f>E57*0.67</f>
        <v>404.36100420182902</v>
      </c>
      <c r="L189" s="423"/>
      <c r="M189" s="406">
        <f t="shared" ref="M189:M193" si="21">F57*0.67</f>
        <v>1.7986873592567938</v>
      </c>
      <c r="N189" s="407"/>
      <c r="O189" s="96"/>
      <c r="P189" s="96"/>
      <c r="Q189" s="96"/>
      <c r="R189" s="96"/>
      <c r="S189" s="96"/>
      <c r="T189" s="96"/>
      <c r="U189" s="96"/>
      <c r="V189" s="33"/>
    </row>
    <row r="190" spans="6:39" ht="14.25" x14ac:dyDescent="0.2">
      <c r="F190" s="32"/>
      <c r="G190" s="16"/>
      <c r="I190" s="33"/>
      <c r="J190" s="320" t="s">
        <v>37</v>
      </c>
      <c r="K190" s="422">
        <f>E58*0.67</f>
        <v>156.49825639683954</v>
      </c>
      <c r="L190" s="423"/>
      <c r="M190" s="406">
        <f t="shared" si="21"/>
        <v>0.69613892685414069</v>
      </c>
      <c r="N190" s="407"/>
      <c r="O190" s="96"/>
      <c r="P190" s="275"/>
      <c r="Q190" s="96"/>
      <c r="R190" s="96"/>
      <c r="S190" s="96"/>
      <c r="T190" s="96"/>
      <c r="U190" s="96"/>
      <c r="V190" s="33"/>
    </row>
    <row r="191" spans="6:39" ht="17.25" x14ac:dyDescent="0.3">
      <c r="F191" s="32"/>
      <c r="G191" s="16"/>
      <c r="I191" s="33"/>
      <c r="J191" s="320" t="s">
        <v>509</v>
      </c>
      <c r="K191" s="422">
        <f>E59*0.67</f>
        <v>177.26305275131267</v>
      </c>
      <c r="L191" s="423"/>
      <c r="M191" s="406">
        <f t="shared" si="21"/>
        <v>0.78850534283447637</v>
      </c>
      <c r="N191" s="407"/>
      <c r="O191" s="96"/>
      <c r="P191" s="275"/>
      <c r="Q191" s="96"/>
      <c r="R191" s="96"/>
      <c r="S191" s="96"/>
      <c r="T191" s="96"/>
      <c r="U191" s="96"/>
      <c r="V191" s="33"/>
    </row>
    <row r="192" spans="6:39" ht="17.25" x14ac:dyDescent="0.3">
      <c r="F192" s="32"/>
      <c r="G192" s="16"/>
      <c r="I192" s="33"/>
      <c r="J192" s="320" t="s">
        <v>506</v>
      </c>
      <c r="K192" s="422">
        <f t="shared" ref="K192:K193" si="22">E60*0.67</f>
        <v>129.50502566184767</v>
      </c>
      <c r="L192" s="423"/>
      <c r="M192" s="406">
        <f>F60*0.67</f>
        <v>0.57606705443318429</v>
      </c>
      <c r="N192" s="407"/>
      <c r="O192" s="96"/>
      <c r="P192" s="275"/>
      <c r="Q192" s="96"/>
      <c r="R192" s="96"/>
      <c r="S192" s="96"/>
      <c r="T192" s="96"/>
      <c r="U192" s="96"/>
      <c r="V192" s="33"/>
      <c r="AI192" s="3"/>
      <c r="AJ192" s="3"/>
      <c r="AK192" s="3"/>
      <c r="AL192" s="3"/>
      <c r="AM192" s="3"/>
    </row>
    <row r="193" spans="3:39" ht="14.25" x14ac:dyDescent="0.2">
      <c r="F193" s="32"/>
      <c r="G193" s="16"/>
      <c r="I193" s="33"/>
      <c r="J193" s="320" t="s">
        <v>42</v>
      </c>
      <c r="K193" s="422">
        <f t="shared" si="22"/>
        <v>164.46453534687004</v>
      </c>
      <c r="L193" s="423"/>
      <c r="M193" s="406">
        <f t="shared" si="21"/>
        <v>0.73157470107281741</v>
      </c>
      <c r="N193" s="407"/>
      <c r="O193" s="96"/>
      <c r="P193" s="321"/>
      <c r="Q193" s="96"/>
      <c r="R193" s="96"/>
      <c r="S193" s="96"/>
      <c r="T193" s="96"/>
      <c r="U193" s="96"/>
      <c r="V193" s="33"/>
      <c r="AI193" s="16"/>
      <c r="AJ193" s="16"/>
      <c r="AK193" s="16"/>
      <c r="AL193" s="16"/>
      <c r="AM193" s="16"/>
    </row>
    <row r="194" spans="3:39" ht="14.25" x14ac:dyDescent="0.2">
      <c r="F194" s="32"/>
      <c r="G194" s="16"/>
      <c r="I194" s="33"/>
      <c r="J194" s="96"/>
      <c r="K194" s="96"/>
      <c r="L194" s="96"/>
      <c r="M194" s="96"/>
      <c r="N194" s="96"/>
      <c r="O194" s="96"/>
      <c r="P194" s="96"/>
      <c r="Q194" s="96"/>
      <c r="R194" s="96"/>
      <c r="S194" s="96"/>
      <c r="T194" s="96"/>
      <c r="U194" s="96"/>
      <c r="V194" s="33"/>
    </row>
    <row r="195" spans="3:39" ht="17.25" x14ac:dyDescent="0.3">
      <c r="F195" s="32"/>
      <c r="G195" s="16"/>
      <c r="I195" s="33"/>
      <c r="J195" s="197" t="s">
        <v>507</v>
      </c>
      <c r="K195" s="415">
        <f>MIN(K188:L193)</f>
        <v>129.50502566184767</v>
      </c>
      <c r="L195" s="416"/>
      <c r="M195" s="413">
        <f>MIN(M188:N193)</f>
        <v>0.57606705443318429</v>
      </c>
      <c r="N195" s="414"/>
      <c r="O195" s="399" t="s">
        <v>382</v>
      </c>
      <c r="P195" s="249"/>
      <c r="Q195" s="96"/>
      <c r="R195" s="96"/>
      <c r="S195" s="96"/>
      <c r="T195" s="96"/>
      <c r="U195" s="96"/>
      <c r="V195" s="33"/>
    </row>
    <row r="196" spans="3:39" ht="14.25" x14ac:dyDescent="0.2">
      <c r="C196" s="3"/>
      <c r="F196" s="32"/>
      <c r="G196" s="16"/>
      <c r="I196" s="33"/>
      <c r="J196" s="96"/>
      <c r="K196" s="96"/>
      <c r="L196" s="96"/>
      <c r="M196" s="96"/>
      <c r="N196" s="96"/>
      <c r="O196" s="96"/>
      <c r="P196" s="96"/>
      <c r="Q196" s="96"/>
      <c r="R196" s="96"/>
      <c r="S196" s="96"/>
      <c r="T196" s="96"/>
      <c r="U196" s="96"/>
      <c r="V196" s="33"/>
    </row>
    <row r="197" spans="3:39" ht="14.25" x14ac:dyDescent="0.2">
      <c r="C197" s="170"/>
      <c r="I197" s="33"/>
      <c r="K197" s="96"/>
      <c r="L197" s="96"/>
      <c r="M197" s="96"/>
      <c r="N197" s="96"/>
      <c r="O197" s="96"/>
      <c r="P197" s="96"/>
      <c r="Q197" s="96"/>
      <c r="R197" s="96"/>
      <c r="S197" s="96"/>
      <c r="T197" s="96"/>
      <c r="U197" s="96"/>
      <c r="V197" s="33"/>
    </row>
    <row r="198" spans="3:39" ht="14.25" x14ac:dyDescent="0.2">
      <c r="C198" s="170"/>
      <c r="I198" s="33"/>
      <c r="J198" s="39" t="s">
        <v>384</v>
      </c>
      <c r="K198" s="96"/>
      <c r="L198" s="96"/>
      <c r="M198" s="96"/>
      <c r="N198" s="96"/>
      <c r="O198" s="96"/>
      <c r="P198" s="96"/>
      <c r="Q198" s="96"/>
      <c r="R198" s="96"/>
      <c r="S198" s="96"/>
      <c r="T198" s="96"/>
      <c r="U198" s="96"/>
      <c r="V198" s="33"/>
    </row>
    <row r="199" spans="3:39" ht="14.25" x14ac:dyDescent="0.2">
      <c r="C199" s="170"/>
      <c r="I199" s="33"/>
      <c r="J199" s="39" t="s">
        <v>467</v>
      </c>
      <c r="K199" s="96"/>
      <c r="L199" s="96"/>
      <c r="M199" s="96"/>
      <c r="N199" s="96"/>
      <c r="O199" s="96"/>
      <c r="P199" s="96"/>
      <c r="Q199" s="96"/>
      <c r="R199" s="96"/>
      <c r="S199" s="96"/>
      <c r="T199" s="96"/>
      <c r="U199" s="96"/>
      <c r="V199" s="33"/>
    </row>
    <row r="200" spans="3:39" ht="14.25" x14ac:dyDescent="0.2">
      <c r="C200" s="170"/>
      <c r="I200" s="33"/>
      <c r="J200" s="39"/>
      <c r="K200" s="249"/>
      <c r="L200" s="96"/>
      <c r="M200" s="96"/>
      <c r="N200" s="96"/>
      <c r="O200" s="96"/>
      <c r="P200" s="249"/>
      <c r="Q200" s="96"/>
      <c r="R200" s="96"/>
      <c r="S200" s="96"/>
      <c r="T200" s="96"/>
      <c r="U200" s="96"/>
      <c r="V200" s="33"/>
      <c r="Y200" s="1"/>
      <c r="AB200" s="1"/>
    </row>
    <row r="201" spans="3:39" ht="14.25" x14ac:dyDescent="0.2">
      <c r="C201" s="170"/>
      <c r="I201" s="33"/>
      <c r="J201" s="49"/>
      <c r="K201" s="316" t="s">
        <v>234</v>
      </c>
      <c r="L201" s="96"/>
      <c r="M201" s="48"/>
      <c r="N201" s="96"/>
      <c r="O201" s="96"/>
      <c r="P201" s="48" t="s">
        <v>229</v>
      </c>
      <c r="Q201" s="96"/>
      <c r="R201" s="96"/>
      <c r="S201" s="96"/>
      <c r="T201" s="96"/>
      <c r="U201" s="96"/>
      <c r="V201" s="33"/>
    </row>
    <row r="202" spans="3:39" ht="15.95" customHeight="1" x14ac:dyDescent="0.3">
      <c r="C202" s="170"/>
      <c r="E202" s="3"/>
      <c r="I202" s="33"/>
      <c r="J202" s="49" t="s">
        <v>148</v>
      </c>
      <c r="K202" s="282">
        <v>1.1499999999999999</v>
      </c>
      <c r="L202" s="96" t="str">
        <f>IF(L68&lt;&gt;0,"Manually input value of CD","Do not modify")</f>
        <v>Do not modify</v>
      </c>
      <c r="M202" s="48"/>
      <c r="N202" s="96"/>
      <c r="O202" s="49" t="s">
        <v>510</v>
      </c>
      <c r="P202" s="239">
        <v>0.8</v>
      </c>
      <c r="Q202" s="96" t="s">
        <v>300</v>
      </c>
      <c r="R202" s="96"/>
      <c r="S202" s="96"/>
      <c r="T202" s="96"/>
      <c r="U202" s="96"/>
      <c r="V202" s="33"/>
    </row>
    <row r="203" spans="3:39" ht="15.95" customHeight="1" x14ac:dyDescent="0.3">
      <c r="C203" s="170"/>
      <c r="E203" s="2"/>
      <c r="I203" s="33"/>
      <c r="J203" s="49" t="s">
        <v>148</v>
      </c>
      <c r="K203" s="302">
        <v>1</v>
      </c>
      <c r="L203" s="96" t="s">
        <v>151</v>
      </c>
      <c r="M203" s="48"/>
      <c r="N203" s="96"/>
      <c r="O203" s="49" t="s">
        <v>510</v>
      </c>
      <c r="P203" s="280">
        <f>R56</f>
        <v>0.8</v>
      </c>
      <c r="Q203" s="96" t="s">
        <v>238</v>
      </c>
      <c r="R203" s="96"/>
      <c r="S203" s="96"/>
      <c r="T203" s="96"/>
      <c r="U203" s="96"/>
      <c r="V203" s="33"/>
      <c r="Y203" s="1"/>
      <c r="AD203" s="1"/>
    </row>
    <row r="204" spans="3:39" ht="15.95" customHeight="1" x14ac:dyDescent="0.3">
      <c r="C204" s="170"/>
      <c r="E204" s="2"/>
      <c r="I204" s="33"/>
      <c r="J204" s="49" t="s">
        <v>146</v>
      </c>
      <c r="K204" s="282">
        <v>1</v>
      </c>
      <c r="L204" s="96" t="s">
        <v>149</v>
      </c>
      <c r="M204" s="96"/>
      <c r="N204" s="96"/>
      <c r="O204" s="49" t="s">
        <v>191</v>
      </c>
      <c r="P204" s="239">
        <v>3.32</v>
      </c>
      <c r="Q204" s="96" t="s">
        <v>236</v>
      </c>
      <c r="R204" s="96"/>
      <c r="S204" s="96"/>
      <c r="T204" s="96"/>
      <c r="U204" s="96"/>
      <c r="V204" s="33"/>
      <c r="Y204" s="130"/>
      <c r="Z204" s="3"/>
      <c r="AD204" s="1"/>
      <c r="AE204" s="2"/>
    </row>
    <row r="205" spans="3:39" ht="15.95" customHeight="1" x14ac:dyDescent="0.3">
      <c r="C205" s="170"/>
      <c r="E205" s="2"/>
      <c r="I205" s="33"/>
      <c r="J205" s="49" t="s">
        <v>147</v>
      </c>
      <c r="K205" s="282">
        <v>1</v>
      </c>
      <c r="L205" s="96" t="s">
        <v>150</v>
      </c>
      <c r="M205" s="96"/>
      <c r="N205" s="96"/>
      <c r="O205" s="49" t="s">
        <v>511</v>
      </c>
      <c r="P205" s="239">
        <v>0.65</v>
      </c>
      <c r="Q205" s="96" t="s">
        <v>237</v>
      </c>
      <c r="R205" s="96"/>
      <c r="S205" s="96"/>
      <c r="T205" s="96"/>
      <c r="U205" s="96"/>
      <c r="V205" s="33"/>
      <c r="Y205" s="131"/>
      <c r="Z205" s="2"/>
      <c r="AE205" s="3"/>
    </row>
    <row r="206" spans="3:39" ht="15.95" customHeight="1" x14ac:dyDescent="0.3">
      <c r="C206" s="170"/>
      <c r="E206" s="2"/>
      <c r="I206" s="33"/>
      <c r="J206" s="49"/>
      <c r="K206" s="96"/>
      <c r="L206" s="96"/>
      <c r="M206" s="96"/>
      <c r="N206" s="96"/>
      <c r="O206" s="49" t="s">
        <v>146</v>
      </c>
      <c r="P206" s="282">
        <v>1</v>
      </c>
      <c r="Q206" s="96" t="s">
        <v>149</v>
      </c>
      <c r="R206" s="96"/>
      <c r="S206" s="96"/>
      <c r="T206" s="96"/>
      <c r="U206" s="96"/>
      <c r="V206" s="33"/>
      <c r="Y206" s="130"/>
      <c r="Z206" s="3"/>
      <c r="AA206" s="3"/>
      <c r="AD206" s="1"/>
      <c r="AE206" s="16"/>
      <c r="AF206" s="3"/>
      <c r="AG206" s="3"/>
    </row>
    <row r="207" spans="3:39" ht="15.95" customHeight="1" x14ac:dyDescent="0.3">
      <c r="C207" s="170"/>
      <c r="E207" s="2"/>
      <c r="I207" s="33"/>
      <c r="J207" s="49"/>
      <c r="K207" s="96"/>
      <c r="L207" s="96"/>
      <c r="M207" s="96"/>
      <c r="N207" s="96"/>
      <c r="O207" s="49" t="s">
        <v>147</v>
      </c>
      <c r="P207" s="282">
        <v>1</v>
      </c>
      <c r="Q207" s="96" t="s">
        <v>150</v>
      </c>
      <c r="R207" s="96"/>
      <c r="S207" s="96"/>
      <c r="T207" s="96"/>
      <c r="U207" s="96"/>
      <c r="V207" s="33"/>
      <c r="Y207" s="131"/>
      <c r="Z207" s="16"/>
      <c r="AA207" s="2"/>
      <c r="AD207" s="1"/>
      <c r="AE207" s="3"/>
      <c r="AF207" s="16"/>
      <c r="AG207" s="16"/>
      <c r="AH207" s="3"/>
    </row>
    <row r="208" spans="3:39" ht="16.5" thickBot="1" x14ac:dyDescent="0.3">
      <c r="C208" s="170"/>
      <c r="E208" s="2"/>
      <c r="I208" s="33"/>
      <c r="J208" s="49"/>
      <c r="K208" s="96"/>
      <c r="L208" s="96"/>
      <c r="M208" s="96"/>
      <c r="N208" s="96"/>
      <c r="O208" s="96"/>
      <c r="P208" s="96"/>
      <c r="Q208" s="96"/>
      <c r="R208" s="96"/>
      <c r="S208" s="96"/>
      <c r="T208" s="96"/>
      <c r="U208" s="96"/>
      <c r="V208" s="33"/>
      <c r="Y208" s="130"/>
      <c r="Z208" s="3"/>
      <c r="AA208" s="3"/>
      <c r="AD208" s="132"/>
      <c r="AH208" s="16"/>
    </row>
    <row r="209" spans="3:31" ht="14.25" x14ac:dyDescent="0.2">
      <c r="C209" s="170"/>
      <c r="E209" s="2"/>
      <c r="I209" s="33"/>
      <c r="J209" s="232"/>
      <c r="K209" s="322"/>
      <c r="L209" s="322"/>
      <c r="M209" s="322"/>
      <c r="N209" s="322"/>
      <c r="O209" s="322"/>
      <c r="P209" s="322"/>
      <c r="Q209" s="322"/>
      <c r="R209" s="322"/>
      <c r="S209" s="323"/>
      <c r="T209" s="249"/>
      <c r="U209" s="96"/>
      <c r="V209" s="33"/>
      <c r="Y209" s="131"/>
      <c r="Z209" s="16"/>
      <c r="AA209" s="2"/>
      <c r="AD209" s="1"/>
      <c r="AE209" s="133"/>
    </row>
    <row r="210" spans="3:31" ht="14.25" x14ac:dyDescent="0.2">
      <c r="C210" s="170"/>
      <c r="E210" s="2"/>
      <c r="I210" s="33"/>
      <c r="J210" s="324" t="s">
        <v>299</v>
      </c>
      <c r="K210" s="325"/>
      <c r="L210" s="325"/>
      <c r="M210" s="325"/>
      <c r="N210" s="325"/>
      <c r="O210" s="325"/>
      <c r="P210" s="325"/>
      <c r="Q210" s="325"/>
      <c r="R210" s="325"/>
      <c r="S210" s="326"/>
      <c r="T210" s="96"/>
      <c r="U210" s="96"/>
      <c r="V210" s="33"/>
      <c r="Y210" s="131"/>
      <c r="Z210" s="16"/>
      <c r="AA210" s="2"/>
    </row>
    <row r="211" spans="3:31" ht="14.25" x14ac:dyDescent="0.2">
      <c r="C211" s="170"/>
      <c r="E211" s="2"/>
      <c r="I211" s="33"/>
      <c r="J211" s="327"/>
      <c r="K211" s="328"/>
      <c r="L211" s="328"/>
      <c r="M211" s="328"/>
      <c r="N211" s="328"/>
      <c r="O211" s="328"/>
      <c r="P211" s="328"/>
      <c r="Q211" s="328"/>
      <c r="R211" s="328"/>
      <c r="S211" s="329"/>
      <c r="T211" s="96"/>
      <c r="U211" s="96"/>
      <c r="V211" s="33"/>
      <c r="Y211" s="131"/>
      <c r="Z211" s="2"/>
    </row>
    <row r="212" spans="3:31" ht="14.25" x14ac:dyDescent="0.2">
      <c r="C212" s="170"/>
      <c r="E212" s="2"/>
      <c r="I212" s="33"/>
      <c r="J212" s="330"/>
      <c r="K212" s="96"/>
      <c r="L212" s="96"/>
      <c r="M212" s="96"/>
      <c r="N212" s="96"/>
      <c r="O212" s="96"/>
      <c r="P212" s="96"/>
      <c r="Q212" s="96"/>
      <c r="R212" s="96"/>
      <c r="S212" s="331"/>
      <c r="T212" s="96"/>
      <c r="U212" s="96"/>
      <c r="V212" s="33"/>
      <c r="Y212" s="131"/>
      <c r="Z212" s="2"/>
    </row>
    <row r="213" spans="3:31" ht="24.95" customHeight="1" x14ac:dyDescent="0.2">
      <c r="C213" s="170"/>
      <c r="E213" s="2"/>
      <c r="I213" s="33"/>
      <c r="J213" s="378" t="s">
        <v>386</v>
      </c>
      <c r="K213" s="379" t="s">
        <v>387</v>
      </c>
      <c r="L213" s="96"/>
      <c r="M213" s="96"/>
      <c r="N213" s="441" t="s">
        <v>468</v>
      </c>
      <c r="O213" s="441"/>
      <c r="P213" s="441" t="s">
        <v>469</v>
      </c>
      <c r="Q213" s="441"/>
      <c r="R213" s="441" t="s">
        <v>455</v>
      </c>
      <c r="S213" s="443"/>
      <c r="T213" s="96"/>
      <c r="U213" s="96"/>
      <c r="V213" s="33"/>
      <c r="Z213" s="3"/>
      <c r="AA213" s="3"/>
    </row>
    <row r="214" spans="3:31" ht="14.25" x14ac:dyDescent="0.2">
      <c r="C214" s="170"/>
      <c r="E214" s="2"/>
      <c r="I214" s="33"/>
      <c r="J214" s="332"/>
      <c r="K214" s="333" t="s">
        <v>6</v>
      </c>
      <c r="L214" s="96"/>
      <c r="M214" s="96"/>
      <c r="N214" s="440" t="s">
        <v>385</v>
      </c>
      <c r="O214" s="440"/>
      <c r="P214" s="440" t="s">
        <v>385</v>
      </c>
      <c r="Q214" s="440"/>
      <c r="R214" s="440" t="s">
        <v>385</v>
      </c>
      <c r="S214" s="444"/>
      <c r="T214" s="96"/>
      <c r="U214" s="96"/>
      <c r="V214" s="33"/>
      <c r="Y214" s="131"/>
      <c r="Z214" s="2"/>
      <c r="AA214" s="28"/>
    </row>
    <row r="215" spans="3:31" ht="14.25" x14ac:dyDescent="0.2">
      <c r="C215" s="170"/>
      <c r="E215" s="2"/>
      <c r="I215" s="33"/>
      <c r="J215" s="334" t="str">
        <f>L125</f>
        <v>LOCK T 75x175</v>
      </c>
      <c r="K215" s="335">
        <f>L141</f>
        <v>12</v>
      </c>
      <c r="L215" s="96"/>
      <c r="M215" s="96"/>
      <c r="N215" s="442">
        <f>IF(L68=0,K215*K195*X139,K215*K195*X138)</f>
        <v>1554.0603079421721</v>
      </c>
      <c r="O215" s="442"/>
      <c r="P215" s="442">
        <f>IF(L68=0,K215*K182*X139,K215*K182*X138)</f>
        <v>2952.3410086077897</v>
      </c>
      <c r="Q215" s="442"/>
      <c r="R215" s="442">
        <f>VLOOKUP(L125,AA81:AC107,2,FALSE)</f>
        <v>5395</v>
      </c>
      <c r="S215" s="445"/>
      <c r="T215" s="96"/>
      <c r="U215" s="96"/>
      <c r="V215" s="33"/>
      <c r="Z215" s="3"/>
      <c r="AA215" s="3"/>
    </row>
    <row r="216" spans="3:31" ht="14.25" x14ac:dyDescent="0.2">
      <c r="C216" s="170"/>
      <c r="E216" s="2"/>
      <c r="I216" s="33"/>
      <c r="J216" s="330"/>
      <c r="K216" s="96"/>
      <c r="L216" s="96"/>
      <c r="M216" s="96"/>
      <c r="N216" s="96"/>
      <c r="O216" s="49"/>
      <c r="P216" s="96"/>
      <c r="Q216" s="96"/>
      <c r="R216" s="96"/>
      <c r="S216" s="331"/>
      <c r="T216" s="96"/>
      <c r="U216" s="96"/>
      <c r="V216" s="33"/>
      <c r="Y216" s="131"/>
      <c r="Z216" s="2"/>
      <c r="AA216" s="28"/>
    </row>
    <row r="217" spans="3:31" ht="14.25" x14ac:dyDescent="0.2">
      <c r="C217" s="170"/>
      <c r="E217" s="2"/>
      <c r="I217" s="33"/>
      <c r="J217" s="330"/>
      <c r="K217" s="96"/>
      <c r="L217" s="96"/>
      <c r="M217" s="96"/>
      <c r="N217" s="440" t="s">
        <v>56</v>
      </c>
      <c r="O217" s="440"/>
      <c r="P217" s="440" t="s">
        <v>56</v>
      </c>
      <c r="Q217" s="440"/>
      <c r="R217" s="440" t="s">
        <v>56</v>
      </c>
      <c r="S217" s="444"/>
      <c r="T217" s="96"/>
      <c r="U217" s="96"/>
      <c r="V217" s="33"/>
      <c r="Y217" s="1"/>
      <c r="Z217" s="134"/>
    </row>
    <row r="218" spans="3:31" ht="14.25" x14ac:dyDescent="0.2">
      <c r="C218" s="170"/>
      <c r="E218" s="2"/>
      <c r="I218" s="33"/>
      <c r="J218" s="330"/>
      <c r="K218" s="96"/>
      <c r="L218" s="96"/>
      <c r="M218" s="96"/>
      <c r="N218" s="446">
        <f>N215*4.448221615255/1000</f>
        <v>6.9128046531982115</v>
      </c>
      <c r="O218" s="446"/>
      <c r="P218" s="446">
        <f>P215*4.448221615255/1000</f>
        <v>13.132667090092918</v>
      </c>
      <c r="Q218" s="446"/>
      <c r="R218" s="446">
        <f>R215*4.448221615255/1000</f>
        <v>23.998155614300725</v>
      </c>
      <c r="S218" s="460"/>
      <c r="T218" s="96"/>
      <c r="U218" s="96"/>
      <c r="V218" s="33"/>
    </row>
    <row r="219" spans="3:31" ht="14.25" x14ac:dyDescent="0.2">
      <c r="C219" s="170"/>
      <c r="E219" s="2"/>
      <c r="I219" s="33"/>
      <c r="J219" s="330"/>
      <c r="K219" s="96"/>
      <c r="L219" s="96"/>
      <c r="M219" s="96"/>
      <c r="N219" s="96"/>
      <c r="O219" s="49"/>
      <c r="P219" s="96"/>
      <c r="Q219" s="96"/>
      <c r="R219" s="96"/>
      <c r="S219" s="331"/>
      <c r="T219" s="96"/>
      <c r="U219" s="96"/>
      <c r="V219" s="33"/>
    </row>
    <row r="220" spans="3:31" ht="14.25" x14ac:dyDescent="0.2">
      <c r="C220" s="170"/>
      <c r="E220" s="2"/>
      <c r="I220" s="33"/>
      <c r="J220" s="330"/>
      <c r="K220" s="96"/>
      <c r="L220" s="96"/>
      <c r="M220" s="96"/>
      <c r="N220" s="440" t="s">
        <v>385</v>
      </c>
      <c r="O220" s="440"/>
      <c r="P220" s="440" t="s">
        <v>145</v>
      </c>
      <c r="Q220" s="440"/>
      <c r="R220" s="96"/>
      <c r="S220" s="331"/>
      <c r="T220" s="96"/>
      <c r="U220" s="96"/>
      <c r="V220" s="33"/>
    </row>
    <row r="221" spans="3:31" ht="14.25" x14ac:dyDescent="0.2">
      <c r="C221" s="170"/>
      <c r="E221" s="2"/>
      <c r="I221" s="33"/>
      <c r="J221" s="336" t="s">
        <v>227</v>
      </c>
      <c r="K221" s="96"/>
      <c r="L221" s="96"/>
      <c r="M221" s="337" t="str">
        <f>IF(N221=N215, "SECONDARY MEMBER", "MAIN MEMBER")</f>
        <v>SECONDARY MEMBER</v>
      </c>
      <c r="N221" s="447">
        <f>MIN(N215,P215,R215)</f>
        <v>1554.0603079421721</v>
      </c>
      <c r="O221" s="447"/>
      <c r="P221" s="439">
        <f>M71/N221</f>
        <v>0.81253583793870754</v>
      </c>
      <c r="Q221" s="439"/>
      <c r="R221" s="433" t="str">
        <f>IF(P221&gt;1, "NOT VERIFIED", "VERIFIED")</f>
        <v>VERIFIED</v>
      </c>
      <c r="S221" s="434"/>
      <c r="T221" s="96"/>
      <c r="U221" s="96"/>
      <c r="V221" s="33"/>
    </row>
    <row r="222" spans="3:31" ht="15.95" customHeight="1" thickBot="1" x14ac:dyDescent="0.25">
      <c r="C222" s="170"/>
      <c r="E222" s="2"/>
      <c r="I222" s="33"/>
      <c r="J222" s="338"/>
      <c r="K222" s="339"/>
      <c r="L222" s="339"/>
      <c r="M222" s="339"/>
      <c r="N222" s="339"/>
      <c r="O222" s="339"/>
      <c r="P222" s="339"/>
      <c r="Q222" s="339"/>
      <c r="R222" s="339"/>
      <c r="S222" s="340"/>
      <c r="T222" s="96"/>
      <c r="U222" s="96"/>
      <c r="V222" s="33"/>
    </row>
    <row r="223" spans="3:31" ht="14.25" x14ac:dyDescent="0.2">
      <c r="C223" s="170"/>
      <c r="E223" s="2"/>
      <c r="I223" s="33"/>
      <c r="J223" s="96"/>
      <c r="K223" s="96"/>
      <c r="L223" s="96"/>
      <c r="M223" s="96"/>
      <c r="N223" s="96"/>
      <c r="O223" s="96"/>
      <c r="P223" s="96"/>
      <c r="Q223" s="96"/>
      <c r="R223" s="96"/>
      <c r="S223" s="96"/>
      <c r="T223" s="96"/>
      <c r="U223" s="96"/>
      <c r="V223" s="33"/>
    </row>
    <row r="224" spans="3:31" ht="15" thickBot="1" x14ac:dyDescent="0.25">
      <c r="C224" s="170"/>
      <c r="E224" s="2"/>
      <c r="I224" s="33"/>
      <c r="J224" s="96"/>
      <c r="K224" s="96"/>
      <c r="L224" s="96"/>
      <c r="M224" s="96"/>
      <c r="N224" s="96"/>
      <c r="O224" s="96"/>
      <c r="P224" s="96"/>
      <c r="Q224" s="96"/>
      <c r="R224" s="96"/>
      <c r="S224" s="96"/>
      <c r="T224" s="96"/>
      <c r="U224" s="96"/>
      <c r="V224" s="33"/>
    </row>
    <row r="225" spans="3:22" ht="14.25" x14ac:dyDescent="0.2">
      <c r="C225" s="170"/>
      <c r="E225" s="2"/>
      <c r="I225" s="33"/>
      <c r="J225" s="341"/>
      <c r="K225" s="342"/>
      <c r="L225" s="342"/>
      <c r="M225" s="342"/>
      <c r="N225" s="342"/>
      <c r="O225" s="342"/>
      <c r="P225" s="342"/>
      <c r="Q225" s="342"/>
      <c r="R225" s="342"/>
      <c r="S225" s="343"/>
      <c r="T225" s="96"/>
      <c r="U225" s="96"/>
      <c r="V225" s="33"/>
    </row>
    <row r="226" spans="3:22" ht="14.25" x14ac:dyDescent="0.2">
      <c r="C226" s="170"/>
      <c r="E226" s="2"/>
      <c r="I226" s="33"/>
      <c r="J226" s="344" t="s">
        <v>470</v>
      </c>
      <c r="K226" s="345"/>
      <c r="L226" s="345"/>
      <c r="M226" s="345"/>
      <c r="N226" s="345"/>
      <c r="O226" s="345"/>
      <c r="P226" s="345"/>
      <c r="Q226" s="345"/>
      <c r="R226" s="345"/>
      <c r="S226" s="346"/>
      <c r="T226" s="96"/>
      <c r="U226" s="96"/>
      <c r="V226" s="33"/>
    </row>
    <row r="227" spans="3:22" ht="14.25" x14ac:dyDescent="0.2">
      <c r="C227" s="170"/>
      <c r="E227" s="2"/>
      <c r="I227" s="33"/>
      <c r="J227" s="347"/>
      <c r="K227" s="345"/>
      <c r="L227" s="348"/>
      <c r="M227" s="348"/>
      <c r="N227" s="348"/>
      <c r="O227" s="348"/>
      <c r="P227" s="348"/>
      <c r="Q227" s="348"/>
      <c r="R227" s="348"/>
      <c r="S227" s="349"/>
      <c r="T227" s="96"/>
      <c r="U227" s="96"/>
      <c r="V227" s="33"/>
    </row>
    <row r="228" spans="3:22" ht="24.95" customHeight="1" x14ac:dyDescent="0.2">
      <c r="C228" s="170"/>
      <c r="E228" s="2"/>
      <c r="I228" s="33"/>
      <c r="J228" s="378" t="s">
        <v>386</v>
      </c>
      <c r="K228" s="379" t="s">
        <v>387</v>
      </c>
      <c r="L228" s="96"/>
      <c r="M228" s="96"/>
      <c r="N228" s="441" t="s">
        <v>468</v>
      </c>
      <c r="O228" s="441"/>
      <c r="P228" s="441" t="s">
        <v>469</v>
      </c>
      <c r="Q228" s="441"/>
      <c r="R228" s="441" t="s">
        <v>455</v>
      </c>
      <c r="S228" s="441"/>
      <c r="T228" s="96"/>
      <c r="U228" s="96"/>
      <c r="V228" s="33"/>
    </row>
    <row r="229" spans="3:22" ht="14.25" x14ac:dyDescent="0.2">
      <c r="C229" s="170"/>
      <c r="E229" s="2"/>
      <c r="I229" s="33"/>
      <c r="J229" s="332"/>
      <c r="K229" s="333" t="s">
        <v>6</v>
      </c>
      <c r="L229" s="96"/>
      <c r="M229" s="96"/>
      <c r="N229" s="440" t="s">
        <v>235</v>
      </c>
      <c r="O229" s="440"/>
      <c r="P229" s="440" t="s">
        <v>235</v>
      </c>
      <c r="Q229" s="440"/>
      <c r="R229" s="440" t="s">
        <v>385</v>
      </c>
      <c r="S229" s="444"/>
      <c r="T229" s="96"/>
      <c r="U229" s="96"/>
      <c r="V229" s="33"/>
    </row>
    <row r="230" spans="3:22" ht="12.75" customHeight="1" x14ac:dyDescent="0.2">
      <c r="C230" s="170"/>
      <c r="E230" s="2"/>
      <c r="I230" s="33"/>
      <c r="J230" s="334" t="str">
        <f>L125</f>
        <v>LOCK T 75x175</v>
      </c>
      <c r="K230" s="350">
        <f>L141</f>
        <v>12</v>
      </c>
      <c r="L230" s="96"/>
      <c r="M230" s="96"/>
      <c r="N230" s="442">
        <f>IF(R68=0,K230*K195*X141,K230*K195*X140)</f>
        <v>2682.929715631366</v>
      </c>
      <c r="O230" s="442"/>
      <c r="P230" s="442">
        <f>IF(R68=0,K230*K182*X141,K230*K182*X140)</f>
        <v>5096.9215172604881</v>
      </c>
      <c r="Q230" s="442"/>
      <c r="R230" s="442">
        <f>VLOOKUP(L125,AA81:AC107,3,FALSE)</f>
        <v>7890</v>
      </c>
      <c r="S230" s="445"/>
      <c r="T230" s="96"/>
      <c r="U230" s="96"/>
      <c r="V230" s="33"/>
    </row>
    <row r="231" spans="3:22" ht="14.25" x14ac:dyDescent="0.2">
      <c r="C231" s="170"/>
      <c r="E231" s="2"/>
      <c r="I231" s="33"/>
      <c r="J231" s="351"/>
      <c r="K231" s="268"/>
      <c r="L231" s="96"/>
      <c r="M231" s="96"/>
      <c r="N231" s="352"/>
      <c r="O231" s="352"/>
      <c r="P231" s="269"/>
      <c r="Q231" s="269"/>
      <c r="R231" s="269"/>
      <c r="S231" s="353"/>
      <c r="T231" s="96"/>
      <c r="U231" s="96"/>
      <c r="V231" s="33"/>
    </row>
    <row r="232" spans="3:22" ht="14.25" x14ac:dyDescent="0.2">
      <c r="C232" s="170"/>
      <c r="E232" s="2"/>
      <c r="I232" s="33"/>
      <c r="J232" s="330"/>
      <c r="K232" s="96"/>
      <c r="L232" s="96"/>
      <c r="M232" s="96"/>
      <c r="N232" s="440" t="s">
        <v>56</v>
      </c>
      <c r="O232" s="440"/>
      <c r="P232" s="440" t="s">
        <v>56</v>
      </c>
      <c r="Q232" s="440"/>
      <c r="R232" s="440" t="s">
        <v>56</v>
      </c>
      <c r="S232" s="444"/>
      <c r="T232" s="96"/>
      <c r="U232" s="96"/>
      <c r="V232" s="33"/>
    </row>
    <row r="233" spans="3:22" ht="14.25" x14ac:dyDescent="0.2">
      <c r="C233" s="170"/>
      <c r="E233" s="2"/>
      <c r="I233" s="33"/>
      <c r="J233" s="330"/>
      <c r="K233" s="96"/>
      <c r="L233" s="96"/>
      <c r="M233" s="96"/>
      <c r="N233" s="446">
        <f>N230*4.448221615255/1000</f>
        <v>11.934265953281392</v>
      </c>
      <c r="O233" s="446"/>
      <c r="P233" s="446">
        <f>P230*4.448221615255/1000</f>
        <v>22.672236464336411</v>
      </c>
      <c r="Q233" s="446"/>
      <c r="R233" s="446">
        <f>R230*4.448221615255/1000</f>
        <v>35.096468544361954</v>
      </c>
      <c r="S233" s="460"/>
      <c r="T233" s="96"/>
      <c r="U233" s="96"/>
      <c r="V233" s="33"/>
    </row>
    <row r="234" spans="3:22" ht="14.25" x14ac:dyDescent="0.2">
      <c r="C234" s="170"/>
      <c r="E234" s="2"/>
      <c r="I234" s="33"/>
      <c r="J234" s="330"/>
      <c r="K234" s="96"/>
      <c r="L234" s="96"/>
      <c r="M234" s="96"/>
      <c r="N234" s="96"/>
      <c r="O234" s="96"/>
      <c r="P234" s="96"/>
      <c r="Q234" s="96"/>
      <c r="R234" s="96"/>
      <c r="S234" s="331"/>
      <c r="T234" s="96"/>
      <c r="U234" s="96"/>
      <c r="V234" s="33"/>
    </row>
    <row r="235" spans="3:22" ht="14.25" x14ac:dyDescent="0.2">
      <c r="E235" s="2"/>
      <c r="I235" s="33"/>
      <c r="J235" s="330"/>
      <c r="K235" s="96"/>
      <c r="L235" s="96"/>
      <c r="M235" s="96"/>
      <c r="N235" s="440" t="s">
        <v>235</v>
      </c>
      <c r="O235" s="440"/>
      <c r="P235" s="440" t="s">
        <v>145</v>
      </c>
      <c r="Q235" s="440"/>
      <c r="R235" s="96"/>
      <c r="S235" s="331"/>
      <c r="T235" s="96"/>
      <c r="U235" s="96"/>
      <c r="V235" s="33"/>
    </row>
    <row r="236" spans="3:22" ht="14.25" x14ac:dyDescent="0.2">
      <c r="E236" s="2"/>
      <c r="I236" s="33"/>
      <c r="J236" s="374" t="s">
        <v>228</v>
      </c>
      <c r="K236" s="96"/>
      <c r="L236" s="96"/>
      <c r="M236" s="337" t="str">
        <f>IF(N236=N230, "SECONDARY MEMBER", "MAIN MEMBER")</f>
        <v>SECONDARY MEMBER</v>
      </c>
      <c r="N236" s="447">
        <f>MIN(N230,P230,R230)</f>
        <v>2682.929715631366</v>
      </c>
      <c r="O236" s="447"/>
      <c r="P236" s="439">
        <f>S71/N236</f>
        <v>0.68405654562344897</v>
      </c>
      <c r="Q236" s="439"/>
      <c r="R236" s="433" t="str">
        <f>IF(P236&gt;1, "NOT VERIFIED", "VERIFIED")</f>
        <v>VERIFIED</v>
      </c>
      <c r="S236" s="434"/>
      <c r="T236" s="96"/>
      <c r="U236" s="96"/>
      <c r="V236" s="33"/>
    </row>
    <row r="237" spans="3:22" ht="15.95" customHeight="1" thickBot="1" x14ac:dyDescent="0.25">
      <c r="E237" s="2"/>
      <c r="I237" s="33"/>
      <c r="J237" s="354"/>
      <c r="K237" s="355"/>
      <c r="L237" s="355"/>
      <c r="M237" s="355"/>
      <c r="N237" s="355"/>
      <c r="O237" s="355"/>
      <c r="P237" s="355"/>
      <c r="Q237" s="355"/>
      <c r="R237" s="355"/>
      <c r="S237" s="356"/>
      <c r="T237" s="96"/>
      <c r="U237" s="96"/>
      <c r="V237" s="33"/>
    </row>
    <row r="238" spans="3:22" ht="14.25" x14ac:dyDescent="0.2">
      <c r="E238" s="2"/>
      <c r="I238" s="33"/>
      <c r="J238" s="48"/>
      <c r="K238" s="48"/>
      <c r="L238" s="48"/>
      <c r="M238" s="48"/>
      <c r="N238" s="48"/>
      <c r="O238" s="48"/>
      <c r="P238" s="48"/>
      <c r="Q238" s="48"/>
      <c r="R238" s="48"/>
      <c r="S238" s="48"/>
      <c r="T238" s="96"/>
      <c r="U238" s="96"/>
      <c r="V238" s="33"/>
    </row>
    <row r="239" spans="3:22" ht="14.25" x14ac:dyDescent="0.2">
      <c r="E239" s="2"/>
      <c r="I239" s="33"/>
      <c r="J239" s="48"/>
      <c r="K239" s="48"/>
      <c r="L239" s="48"/>
      <c r="M239" s="48"/>
      <c r="N239" s="48"/>
      <c r="O239" s="48"/>
      <c r="P239" s="48"/>
      <c r="Q239" s="48"/>
      <c r="R239" s="48"/>
      <c r="S239" s="252"/>
      <c r="T239" s="96"/>
      <c r="U239" s="96"/>
      <c r="V239" s="33"/>
    </row>
    <row r="240" spans="3:22" ht="14.25" x14ac:dyDescent="0.2">
      <c r="E240" s="2"/>
      <c r="I240" s="33"/>
      <c r="J240" s="39" t="s">
        <v>471</v>
      </c>
      <c r="K240" s="48"/>
      <c r="L240" s="48"/>
      <c r="M240" s="48"/>
      <c r="N240" s="48"/>
      <c r="O240" s="48"/>
      <c r="P240" s="48"/>
      <c r="Q240" s="48"/>
      <c r="R240" s="48"/>
      <c r="S240" s="252"/>
      <c r="T240" s="96"/>
      <c r="U240" s="96"/>
      <c r="V240" s="33"/>
    </row>
    <row r="241" spans="5:22" ht="15" x14ac:dyDescent="0.2">
      <c r="E241" s="2"/>
      <c r="I241" s="33"/>
      <c r="J241" s="39" t="s">
        <v>494</v>
      </c>
      <c r="K241" s="249"/>
      <c r="L241" s="48" t="s">
        <v>493</v>
      </c>
      <c r="M241" s="367">
        <v>10</v>
      </c>
      <c r="N241" s="48"/>
      <c r="O241" s="48"/>
      <c r="P241" s="48"/>
      <c r="Q241" s="48"/>
      <c r="R241" s="48"/>
      <c r="S241" s="252"/>
      <c r="T241" s="96"/>
      <c r="U241" s="96"/>
      <c r="V241" s="33"/>
    </row>
    <row r="242" spans="5:22" ht="15" thickBot="1" x14ac:dyDescent="0.25">
      <c r="E242" s="2"/>
      <c r="I242" s="33"/>
      <c r="J242" s="48"/>
      <c r="K242" s="48"/>
      <c r="L242" s="48"/>
      <c r="M242" s="398"/>
      <c r="N242" s="48"/>
      <c r="O242" s="48"/>
      <c r="P242" s="48"/>
      <c r="Q242" s="48"/>
      <c r="R242" s="48"/>
      <c r="S242" s="252"/>
      <c r="T242" s="96"/>
      <c r="U242" s="96"/>
      <c r="V242" s="33"/>
    </row>
    <row r="243" spans="5:22" ht="30.75" customHeight="1" x14ac:dyDescent="0.2">
      <c r="E243" s="2"/>
      <c r="I243" s="33"/>
      <c r="J243" s="240"/>
      <c r="K243" s="241"/>
      <c r="L243" s="241"/>
      <c r="M243" s="242" t="s">
        <v>488</v>
      </c>
      <c r="N243" s="246" t="s">
        <v>489</v>
      </c>
      <c r="O243" s="461" t="s">
        <v>492</v>
      </c>
      <c r="P243" s="462"/>
      <c r="Q243" s="96"/>
      <c r="R243" s="96"/>
      <c r="S243" s="252"/>
      <c r="T243" s="96"/>
      <c r="U243" s="96"/>
      <c r="V243" s="33"/>
    </row>
    <row r="244" spans="5:22" ht="33" customHeight="1" x14ac:dyDescent="0.2">
      <c r="E244" s="2"/>
      <c r="I244" s="33"/>
      <c r="J244" s="357" t="s">
        <v>512</v>
      </c>
      <c r="K244" s="358"/>
      <c r="L244" s="243"/>
      <c r="M244" s="359" t="str">
        <f>L127</f>
        <v>LOCKT75175</v>
      </c>
      <c r="N244" s="368">
        <f>M241</f>
        <v>10</v>
      </c>
      <c r="O244" s="463" t="str">
        <f>VLOOKUP(L125,AP50:AS76,4,FALSE)</f>
        <v>12 couples</v>
      </c>
      <c r="P244" s="464"/>
      <c r="Q244" s="96"/>
      <c r="R244" s="96"/>
      <c r="S244" s="252"/>
      <c r="T244" s="96"/>
      <c r="U244" s="96"/>
      <c r="V244" s="33"/>
    </row>
    <row r="245" spans="5:22" ht="14.25" x14ac:dyDescent="0.2">
      <c r="E245" s="2"/>
      <c r="I245" s="33"/>
      <c r="J245" s="360"/>
      <c r="K245" s="361"/>
      <c r="L245" s="244"/>
      <c r="M245" s="244"/>
      <c r="N245" s="244"/>
      <c r="O245" s="463"/>
      <c r="P245" s="464"/>
      <c r="Q245" s="96"/>
      <c r="R245" s="96"/>
      <c r="S245" s="252"/>
      <c r="T245" s="96"/>
      <c r="U245" s="96"/>
      <c r="V245" s="33"/>
    </row>
    <row r="246" spans="5:22" ht="14.25" x14ac:dyDescent="0.2">
      <c r="E246" s="2"/>
      <c r="I246" s="33"/>
      <c r="J246" s="360" t="s">
        <v>490</v>
      </c>
      <c r="K246" s="361"/>
      <c r="L246" s="244"/>
      <c r="M246" s="362" t="str">
        <f>VLOOKUP(L140,AP81:AQ103,2,FALSE)</f>
        <v>LBS760</v>
      </c>
      <c r="N246" s="370">
        <f>L141*M241</f>
        <v>120</v>
      </c>
      <c r="O246" s="463">
        <f>VLOOKUP(L140,AP81:AR103,3,FALSE)</f>
        <v>100</v>
      </c>
      <c r="P246" s="464" t="str">
        <f>IF(AND(N125="LOCK T MIDI",M145&lt;=5),"INCREASE SCREW DIAMETER. The holes in the connector plate are too big for this screw.",IF(AND(N125="LOCK T MINI",M145&gt;=7),"DECREASE SCREW DIAMTER. The holes in the connector plate are too small for this screw.",""))</f>
        <v/>
      </c>
      <c r="Q246" s="96"/>
      <c r="R246" s="96"/>
      <c r="S246" s="252"/>
      <c r="T246" s="96"/>
      <c r="U246" s="96"/>
      <c r="V246" s="33"/>
    </row>
    <row r="247" spans="5:22" ht="14.25" x14ac:dyDescent="0.2">
      <c r="E247" s="2"/>
      <c r="I247" s="33"/>
      <c r="J247" s="360" t="s">
        <v>491</v>
      </c>
      <c r="K247" s="361"/>
      <c r="L247" s="244"/>
      <c r="M247" s="362" t="str">
        <f>VLOOKUP(L153,AP81:AQ103,2,FALSE)</f>
        <v>LBS760</v>
      </c>
      <c r="N247" s="370">
        <f>L154*M241</f>
        <v>120</v>
      </c>
      <c r="O247" s="463">
        <f>VLOOKUP(L153,AP81:AR103,3,FALSE)</f>
        <v>100</v>
      </c>
      <c r="P247" s="464" t="str">
        <f>IF(AND(N125="LOCK T MIDI",M158&lt;=5),"INCREASE SCREW DIAMETER. The holes in the connector plate are too big for this screw.",IF(AND(N125="LOCK T MINI",M158&gt;=7),"DECREASE SCREW DIAMETER. The holes in the connector plate are too small for this screw.",""))</f>
        <v/>
      </c>
      <c r="Q247" s="96"/>
      <c r="R247" s="96"/>
      <c r="S247" s="252"/>
      <c r="T247" s="96"/>
      <c r="U247" s="96"/>
      <c r="V247" s="33"/>
    </row>
    <row r="248" spans="5:22" ht="15" thickBot="1" x14ac:dyDescent="0.25">
      <c r="E248" s="2"/>
      <c r="I248" s="33"/>
      <c r="J248" s="363"/>
      <c r="K248" s="364"/>
      <c r="L248" s="245"/>
      <c r="M248" s="365"/>
      <c r="N248" s="366"/>
      <c r="O248" s="465"/>
      <c r="P248" s="465"/>
      <c r="Q248" s="381"/>
      <c r="R248" s="96"/>
      <c r="S248" s="252"/>
      <c r="T248" s="96"/>
      <c r="U248" s="96"/>
      <c r="V248" s="33"/>
    </row>
    <row r="249" spans="5:22" ht="14.25" x14ac:dyDescent="0.2">
      <c r="E249" s="2"/>
      <c r="I249" s="33"/>
      <c r="J249" s="48"/>
      <c r="K249" s="48"/>
      <c r="L249" s="48"/>
      <c r="M249" s="48"/>
      <c r="N249" s="48"/>
      <c r="O249" s="48"/>
      <c r="P249" s="48"/>
      <c r="Q249" s="48"/>
      <c r="R249" s="48"/>
      <c r="S249" s="252"/>
      <c r="T249" s="96"/>
      <c r="U249" s="96"/>
      <c r="V249" s="33"/>
    </row>
    <row r="250" spans="5:22" ht="14.25" x14ac:dyDescent="0.2">
      <c r="E250" s="2"/>
      <c r="I250" s="33"/>
      <c r="J250" s="369" t="str">
        <f>IF(RIGHT(L127,1)="*","(*) Only available on special request","")</f>
        <v/>
      </c>
      <c r="K250" s="48"/>
      <c r="L250" s="48"/>
      <c r="M250" s="48"/>
      <c r="N250" s="48"/>
      <c r="O250" s="48"/>
      <c r="P250" s="48"/>
      <c r="Q250" s="48"/>
      <c r="R250" s="48"/>
      <c r="S250" s="252"/>
      <c r="T250" s="96"/>
      <c r="U250" s="96"/>
      <c r="V250" s="33"/>
    </row>
    <row r="251" spans="5:22" ht="14.25" x14ac:dyDescent="0.2">
      <c r="E251" s="2"/>
      <c r="I251" s="33"/>
      <c r="J251" s="48"/>
      <c r="K251" s="48"/>
      <c r="L251" s="48"/>
      <c r="M251" s="48"/>
      <c r="N251" s="48"/>
      <c r="O251" s="48"/>
      <c r="P251" s="48"/>
      <c r="Q251" s="48"/>
      <c r="R251" s="48"/>
      <c r="S251" s="252"/>
      <c r="T251" s="96"/>
      <c r="U251" s="96"/>
      <c r="V251" s="33"/>
    </row>
    <row r="252" spans="5:22" ht="14.25" x14ac:dyDescent="0.2">
      <c r="E252" s="2"/>
      <c r="I252" s="33"/>
      <c r="J252" s="314" t="s">
        <v>472</v>
      </c>
      <c r="K252" s="48"/>
      <c r="L252" s="48"/>
      <c r="M252" s="48"/>
      <c r="N252" s="48"/>
      <c r="O252" s="48"/>
      <c r="P252" s="48"/>
      <c r="Q252" s="48"/>
      <c r="R252" s="48"/>
      <c r="S252" s="96"/>
      <c r="T252" s="96"/>
      <c r="U252" s="96"/>
      <c r="V252" s="33"/>
    </row>
    <row r="253" spans="5:22" ht="14.25" x14ac:dyDescent="0.2">
      <c r="I253" s="33"/>
      <c r="J253" s="372" t="s">
        <v>473</v>
      </c>
      <c r="K253" s="48"/>
      <c r="L253" s="48"/>
      <c r="M253" s="48"/>
      <c r="N253" s="48"/>
      <c r="O253" s="48"/>
      <c r="P253" s="48"/>
      <c r="Q253" s="48"/>
      <c r="R253" s="48"/>
      <c r="S253" s="96"/>
      <c r="T253" s="96"/>
      <c r="U253" s="96"/>
      <c r="V253" s="33"/>
    </row>
    <row r="254" spans="5:22" ht="14.25" x14ac:dyDescent="0.2">
      <c r="I254" s="33"/>
      <c r="J254" s="372" t="s">
        <v>474</v>
      </c>
      <c r="K254" s="96"/>
      <c r="L254" s="96"/>
      <c r="M254" s="96"/>
      <c r="N254" s="96"/>
      <c r="O254" s="96"/>
      <c r="P254" s="96"/>
      <c r="Q254" s="96"/>
      <c r="R254" s="96"/>
      <c r="S254" s="96"/>
      <c r="T254" s="96"/>
      <c r="U254" s="96"/>
      <c r="V254" s="33"/>
    </row>
    <row r="255" spans="5:22" ht="14.25" x14ac:dyDescent="0.2">
      <c r="I255" s="33"/>
      <c r="J255" s="372" t="s">
        <v>475</v>
      </c>
      <c r="K255" s="96"/>
      <c r="L255" s="96"/>
      <c r="M255" s="96"/>
      <c r="N255" s="96"/>
      <c r="O255" s="96"/>
      <c r="P255" s="96"/>
      <c r="Q255" s="96"/>
      <c r="R255" s="96"/>
      <c r="S255" s="96"/>
      <c r="T255" s="96"/>
      <c r="U255" s="96"/>
      <c r="V255" s="33"/>
    </row>
    <row r="256" spans="5:22" ht="14.25" x14ac:dyDescent="0.2">
      <c r="I256" s="33"/>
      <c r="J256" s="372" t="s">
        <v>476</v>
      </c>
      <c r="K256" s="96"/>
      <c r="L256" s="96"/>
      <c r="M256" s="96"/>
      <c r="N256" s="96"/>
      <c r="O256" s="96"/>
      <c r="P256" s="96"/>
      <c r="Q256" s="96"/>
      <c r="R256" s="96"/>
      <c r="S256" s="96"/>
      <c r="T256" s="96"/>
      <c r="U256" s="96"/>
      <c r="V256" s="33"/>
    </row>
    <row r="257" spans="9:22" ht="14.25" x14ac:dyDescent="0.2">
      <c r="I257" s="33"/>
      <c r="J257" s="372"/>
      <c r="K257" s="96"/>
      <c r="L257" s="96"/>
      <c r="M257" s="96"/>
      <c r="N257" s="96"/>
      <c r="O257" s="96"/>
      <c r="P257" s="96"/>
      <c r="Q257" s="96"/>
      <c r="R257" s="96"/>
      <c r="S257" s="96"/>
      <c r="T257" s="96"/>
      <c r="U257" s="96"/>
      <c r="V257" s="33"/>
    </row>
    <row r="258" spans="9:22" ht="14.25" x14ac:dyDescent="0.2">
      <c r="I258" s="33"/>
      <c r="J258" s="373" t="s">
        <v>477</v>
      </c>
      <c r="K258" s="96"/>
      <c r="L258" s="96"/>
      <c r="M258" s="96"/>
      <c r="N258" s="96"/>
      <c r="O258" s="96"/>
      <c r="P258" s="96"/>
      <c r="Q258" s="96"/>
      <c r="R258" s="96"/>
      <c r="S258" s="96"/>
      <c r="T258" s="96"/>
      <c r="U258" s="96"/>
      <c r="V258" s="33"/>
    </row>
    <row r="259" spans="9:22" ht="14.25" x14ac:dyDescent="0.2">
      <c r="I259" s="33"/>
      <c r="J259" s="393" t="s">
        <v>478</v>
      </c>
      <c r="K259" s="394"/>
      <c r="L259" s="394"/>
      <c r="M259" s="395"/>
      <c r="N259" s="394"/>
      <c r="O259" s="394"/>
      <c r="P259" s="394"/>
      <c r="Q259" s="394"/>
      <c r="R259" s="394"/>
      <c r="S259" s="96"/>
      <c r="T259" s="96"/>
      <c r="U259" s="96"/>
      <c r="V259" s="33"/>
    </row>
    <row r="260" spans="9:22" ht="14.25" x14ac:dyDescent="0.2">
      <c r="I260" s="33"/>
      <c r="J260" s="393" t="s">
        <v>479</v>
      </c>
      <c r="K260" s="394"/>
      <c r="L260" s="394"/>
      <c r="M260" s="394"/>
      <c r="N260" s="394"/>
      <c r="O260" s="394"/>
      <c r="P260" s="394"/>
      <c r="Q260" s="394"/>
      <c r="R260" s="394"/>
      <c r="S260" s="96"/>
      <c r="T260" s="96"/>
      <c r="U260" s="96"/>
      <c r="V260" s="33"/>
    </row>
    <row r="261" spans="9:22" ht="16.5" customHeight="1" x14ac:dyDescent="0.2">
      <c r="I261" s="33"/>
      <c r="J261" s="393" t="s">
        <v>480</v>
      </c>
      <c r="K261" s="394"/>
      <c r="L261" s="394"/>
      <c r="M261" s="394"/>
      <c r="N261" s="394"/>
      <c r="O261" s="394"/>
      <c r="P261" s="394"/>
      <c r="Q261" s="394"/>
      <c r="R261" s="394"/>
      <c r="S261" s="96"/>
      <c r="T261" s="96"/>
      <c r="U261" s="96"/>
      <c r="V261" s="33"/>
    </row>
    <row r="262" spans="9:22" ht="24" customHeight="1" x14ac:dyDescent="0.2">
      <c r="I262" s="33"/>
      <c r="J262" s="403" t="s">
        <v>481</v>
      </c>
      <c r="K262" s="403"/>
      <c r="L262" s="403"/>
      <c r="M262" s="403"/>
      <c r="N262" s="403"/>
      <c r="O262" s="403"/>
      <c r="P262" s="403"/>
      <c r="Q262" s="403"/>
      <c r="R262" s="396"/>
      <c r="S262" s="376"/>
      <c r="T262" s="376"/>
      <c r="U262" s="376"/>
      <c r="V262" s="33"/>
    </row>
    <row r="263" spans="9:22" ht="14.25" x14ac:dyDescent="0.2">
      <c r="I263" s="33"/>
      <c r="J263" s="393" t="s">
        <v>482</v>
      </c>
      <c r="K263" s="394"/>
      <c r="L263" s="394"/>
      <c r="M263" s="394"/>
      <c r="N263" s="394"/>
      <c r="O263" s="394"/>
      <c r="P263" s="394"/>
      <c r="Q263" s="394"/>
      <c r="R263" s="394"/>
      <c r="S263" s="96"/>
      <c r="T263" s="96"/>
      <c r="U263" s="96"/>
      <c r="V263" s="33"/>
    </row>
    <row r="264" spans="9:22" ht="15" customHeight="1" x14ac:dyDescent="0.2">
      <c r="I264" s="33"/>
      <c r="J264" s="393" t="s">
        <v>483</v>
      </c>
      <c r="K264" s="394"/>
      <c r="L264" s="394"/>
      <c r="M264" s="394"/>
      <c r="N264" s="394"/>
      <c r="O264" s="394"/>
      <c r="P264" s="394"/>
      <c r="Q264" s="394"/>
      <c r="R264" s="394"/>
      <c r="S264" s="96"/>
      <c r="T264" s="96"/>
      <c r="U264" s="96"/>
      <c r="V264" s="33"/>
    </row>
    <row r="265" spans="9:22" ht="29.25" customHeight="1" x14ac:dyDescent="0.2">
      <c r="I265" s="33"/>
      <c r="J265" s="403" t="s">
        <v>484</v>
      </c>
      <c r="K265" s="403"/>
      <c r="L265" s="403"/>
      <c r="M265" s="403"/>
      <c r="N265" s="403"/>
      <c r="O265" s="403"/>
      <c r="P265" s="403"/>
      <c r="Q265" s="403"/>
      <c r="R265" s="403"/>
      <c r="S265" s="403"/>
      <c r="T265" s="377"/>
      <c r="U265" s="377"/>
      <c r="V265" s="33"/>
    </row>
    <row r="266" spans="9:22" ht="14.25" x14ac:dyDescent="0.2">
      <c r="I266" s="33"/>
      <c r="J266" s="393" t="s">
        <v>485</v>
      </c>
      <c r="K266" s="394"/>
      <c r="L266" s="394"/>
      <c r="M266" s="394"/>
      <c r="N266" s="394"/>
      <c r="O266" s="394"/>
      <c r="P266" s="394"/>
      <c r="Q266" s="394"/>
      <c r="R266" s="394"/>
      <c r="S266" s="96"/>
      <c r="T266" s="96"/>
      <c r="U266" s="96"/>
      <c r="V266" s="33"/>
    </row>
    <row r="267" spans="9:22" ht="14.25" x14ac:dyDescent="0.2">
      <c r="I267" s="33"/>
      <c r="J267" s="397" t="s">
        <v>486</v>
      </c>
      <c r="K267" s="394"/>
      <c r="L267" s="394"/>
      <c r="M267" s="394"/>
      <c r="N267" s="394"/>
      <c r="O267" s="394"/>
      <c r="P267" s="394"/>
      <c r="Q267" s="394"/>
      <c r="R267" s="394"/>
      <c r="S267" s="96"/>
      <c r="T267" s="96"/>
      <c r="U267" s="96"/>
      <c r="V267" s="33"/>
    </row>
    <row r="268" spans="9:22" ht="14.25" x14ac:dyDescent="0.2">
      <c r="I268" s="33"/>
      <c r="J268" s="397" t="s">
        <v>487</v>
      </c>
      <c r="K268" s="394"/>
      <c r="L268" s="394"/>
      <c r="M268" s="394"/>
      <c r="N268" s="394"/>
      <c r="O268" s="394"/>
      <c r="P268" s="394"/>
      <c r="Q268" s="394"/>
      <c r="R268" s="394"/>
      <c r="S268" s="96"/>
      <c r="T268" s="96"/>
      <c r="U268" s="96"/>
      <c r="V268" s="33"/>
    </row>
    <row r="269" spans="9:22" ht="27.75" customHeight="1" x14ac:dyDescent="0.2">
      <c r="I269" s="33"/>
      <c r="J269" s="401" t="s">
        <v>534</v>
      </c>
      <c r="K269" s="401"/>
      <c r="L269" s="401"/>
      <c r="M269" s="401"/>
      <c r="N269" s="401"/>
      <c r="O269" s="401"/>
      <c r="P269" s="401"/>
      <c r="Q269" s="401"/>
      <c r="R269" s="401"/>
      <c r="S269" s="401"/>
      <c r="T269" s="96"/>
      <c r="U269" s="96"/>
      <c r="V269" s="33"/>
    </row>
    <row r="270" spans="9:22" ht="46.5" customHeight="1" x14ac:dyDescent="0.2">
      <c r="I270" s="33"/>
      <c r="J270" s="402" t="s">
        <v>535</v>
      </c>
      <c r="K270" s="402"/>
      <c r="L270" s="402"/>
      <c r="M270" s="402"/>
      <c r="N270" s="402"/>
      <c r="O270" s="402"/>
      <c r="P270" s="402"/>
      <c r="Q270" s="402"/>
      <c r="R270" s="402"/>
      <c r="S270" s="402"/>
      <c r="T270" s="402"/>
      <c r="U270" s="96"/>
      <c r="V270" s="33"/>
    </row>
    <row r="271" spans="9:22" x14ac:dyDescent="0.2">
      <c r="I271" s="33"/>
      <c r="J271" s="41"/>
      <c r="K271" s="33"/>
      <c r="L271" s="33"/>
      <c r="M271" s="33"/>
      <c r="N271" s="33"/>
      <c r="O271" s="33"/>
      <c r="P271" s="33"/>
      <c r="Q271" s="33"/>
      <c r="R271" s="33"/>
      <c r="S271" s="33"/>
      <c r="T271" s="33"/>
      <c r="U271" s="33"/>
      <c r="V271" s="33"/>
    </row>
    <row r="272" spans="9:22" x14ac:dyDescent="0.2">
      <c r="I272" s="33"/>
      <c r="J272" s="41" t="s">
        <v>57</v>
      </c>
      <c r="K272" s="33"/>
      <c r="L272" s="33"/>
      <c r="M272" s="33"/>
      <c r="N272" s="33"/>
      <c r="O272" s="33"/>
      <c r="P272" s="33"/>
      <c r="Q272" s="33"/>
      <c r="R272" s="33"/>
      <c r="S272" s="33"/>
      <c r="T272" s="33"/>
      <c r="V272" s="33"/>
    </row>
    <row r="273" spans="9:22" x14ac:dyDescent="0.2">
      <c r="I273" s="33"/>
      <c r="J273" s="41" t="s">
        <v>58</v>
      </c>
      <c r="K273" s="33"/>
      <c r="L273" s="33"/>
      <c r="M273" s="33"/>
      <c r="N273" s="33"/>
      <c r="O273" s="33"/>
      <c r="P273" s="33"/>
      <c r="Q273" s="33"/>
      <c r="R273" s="33"/>
      <c r="S273" s="33"/>
      <c r="T273" s="33"/>
      <c r="U273" s="33"/>
      <c r="V273" s="33"/>
    </row>
    <row r="274" spans="9:22" x14ac:dyDescent="0.2">
      <c r="I274" s="33"/>
      <c r="J274" s="33"/>
      <c r="K274" s="33"/>
      <c r="L274" s="33"/>
      <c r="M274" s="33"/>
      <c r="N274" s="33"/>
      <c r="O274" s="33"/>
      <c r="P274" s="33"/>
      <c r="Q274" s="33"/>
      <c r="R274" s="33"/>
      <c r="S274" s="33"/>
      <c r="T274" s="33"/>
      <c r="U274" s="33"/>
      <c r="V274" s="33"/>
    </row>
    <row r="275" spans="9:22" hidden="1" x14ac:dyDescent="0.2">
      <c r="I275" s="33"/>
      <c r="J275" s="33"/>
      <c r="K275" s="33"/>
      <c r="L275" s="33"/>
      <c r="M275" s="33"/>
      <c r="N275" s="33"/>
      <c r="O275" s="33"/>
      <c r="P275" s="33"/>
      <c r="Q275" s="33"/>
      <c r="R275" s="33"/>
      <c r="S275" s="33"/>
      <c r="T275" s="33"/>
      <c r="U275" s="33"/>
      <c r="V275" s="33"/>
    </row>
    <row r="276" spans="9:22" hidden="1" x14ac:dyDescent="0.2">
      <c r="I276"/>
      <c r="J276"/>
      <c r="K276"/>
      <c r="L276"/>
      <c r="M276"/>
      <c r="N276"/>
      <c r="O276"/>
      <c r="P276"/>
      <c r="Q276"/>
      <c r="R276"/>
      <c r="S276"/>
      <c r="T276"/>
      <c r="U276"/>
      <c r="V276"/>
    </row>
    <row r="277" spans="9:22" hidden="1" x14ac:dyDescent="0.2">
      <c r="I277"/>
      <c r="J277"/>
      <c r="K277"/>
      <c r="L277"/>
      <c r="M277"/>
      <c r="N277"/>
      <c r="O277"/>
      <c r="P277"/>
      <c r="Q277"/>
      <c r="R277"/>
      <c r="S277"/>
      <c r="T277"/>
      <c r="U277"/>
      <c r="V277"/>
    </row>
    <row r="278" spans="9:22" hidden="1" x14ac:dyDescent="0.2">
      <c r="I278"/>
      <c r="J278"/>
      <c r="K278"/>
      <c r="L278"/>
      <c r="M278"/>
      <c r="N278"/>
      <c r="O278"/>
      <c r="P278"/>
      <c r="Q278"/>
      <c r="R278"/>
      <c r="S278"/>
      <c r="T278"/>
      <c r="U278"/>
      <c r="V278"/>
    </row>
    <row r="279" spans="9:22" hidden="1" x14ac:dyDescent="0.2">
      <c r="I279"/>
      <c r="J279"/>
      <c r="K279"/>
      <c r="L279"/>
      <c r="M279"/>
      <c r="N279"/>
      <c r="O279"/>
      <c r="P279"/>
      <c r="Q279"/>
      <c r="R279"/>
      <c r="S279"/>
      <c r="T279"/>
      <c r="U279"/>
      <c r="V279"/>
    </row>
    <row r="280" spans="9:22" hidden="1" x14ac:dyDescent="0.2">
      <c r="I280"/>
      <c r="J280"/>
      <c r="K280"/>
      <c r="L280"/>
      <c r="M280"/>
      <c r="N280"/>
      <c r="O280"/>
      <c r="P280"/>
      <c r="Q280"/>
      <c r="R280"/>
      <c r="S280"/>
      <c r="T280"/>
      <c r="U280"/>
      <c r="V280"/>
    </row>
    <row r="281" spans="9:22" hidden="1" x14ac:dyDescent="0.2">
      <c r="I281"/>
      <c r="J281"/>
      <c r="K281"/>
      <c r="L281"/>
      <c r="M281"/>
      <c r="N281"/>
      <c r="O281"/>
      <c r="P281"/>
      <c r="Q281"/>
      <c r="R281"/>
      <c r="S281"/>
      <c r="T281"/>
      <c r="U281"/>
      <c r="V281"/>
    </row>
    <row r="282" spans="9:22" hidden="1" x14ac:dyDescent="0.2">
      <c r="I282"/>
      <c r="J282"/>
      <c r="K282"/>
      <c r="L282"/>
      <c r="M282"/>
      <c r="N282"/>
      <c r="O282"/>
      <c r="P282"/>
      <c r="Q282"/>
      <c r="R282"/>
      <c r="S282"/>
      <c r="T282"/>
      <c r="U282"/>
      <c r="V282"/>
    </row>
    <row r="283" spans="9:22" hidden="1" x14ac:dyDescent="0.2">
      <c r="I283"/>
      <c r="J283"/>
      <c r="K283"/>
      <c r="L283"/>
      <c r="M283"/>
      <c r="N283"/>
      <c r="O283"/>
      <c r="P283"/>
      <c r="Q283"/>
      <c r="R283"/>
      <c r="S283"/>
      <c r="T283"/>
      <c r="U283"/>
      <c r="V283"/>
    </row>
    <row r="284" spans="9:22" hidden="1" x14ac:dyDescent="0.2">
      <c r="I284"/>
      <c r="J284"/>
      <c r="K284"/>
      <c r="L284"/>
      <c r="M284"/>
      <c r="N284"/>
      <c r="O284"/>
      <c r="P284"/>
      <c r="Q284"/>
      <c r="R284"/>
      <c r="S284"/>
      <c r="T284"/>
      <c r="U284"/>
      <c r="V284"/>
    </row>
    <row r="285" spans="9:22" hidden="1" x14ac:dyDescent="0.2">
      <c r="I285"/>
      <c r="J285"/>
      <c r="K285"/>
      <c r="L285"/>
      <c r="M285"/>
      <c r="N285"/>
      <c r="O285"/>
      <c r="P285"/>
      <c r="Q285"/>
      <c r="R285"/>
      <c r="S285"/>
      <c r="T285"/>
      <c r="U285"/>
      <c r="V285"/>
    </row>
    <row r="286" spans="9:22" hidden="1" x14ac:dyDescent="0.2">
      <c r="I286"/>
      <c r="J286"/>
      <c r="K286"/>
      <c r="L286"/>
      <c r="M286"/>
      <c r="N286"/>
      <c r="O286"/>
      <c r="P286"/>
      <c r="Q286"/>
      <c r="R286"/>
      <c r="S286"/>
      <c r="T286"/>
      <c r="U286"/>
      <c r="V286"/>
    </row>
    <row r="287" spans="9:22" hidden="1" x14ac:dyDescent="0.2">
      <c r="I287"/>
      <c r="J287"/>
      <c r="K287"/>
      <c r="L287"/>
      <c r="M287"/>
      <c r="N287"/>
      <c r="O287"/>
      <c r="P287"/>
      <c r="Q287"/>
      <c r="R287"/>
      <c r="S287"/>
      <c r="T287"/>
      <c r="U287"/>
      <c r="V287"/>
    </row>
    <row r="288" spans="9:22" hidden="1" x14ac:dyDescent="0.2">
      <c r="I288"/>
      <c r="J288"/>
      <c r="K288"/>
      <c r="L288"/>
      <c r="M288"/>
      <c r="N288"/>
      <c r="O288"/>
      <c r="P288"/>
      <c r="Q288"/>
      <c r="R288"/>
      <c r="S288"/>
      <c r="T288"/>
      <c r="U288"/>
      <c r="V288"/>
    </row>
    <row r="289" customFormat="1" hidden="1" x14ac:dyDescent="0.2"/>
    <row r="290" customFormat="1" hidden="1" x14ac:dyDescent="0.2"/>
    <row r="291" customFormat="1" hidden="1" x14ac:dyDescent="0.2"/>
    <row r="292" customFormat="1" hidden="1" x14ac:dyDescent="0.2"/>
    <row r="293" customFormat="1" hidden="1" x14ac:dyDescent="0.2"/>
    <row r="294" customFormat="1" hidden="1" x14ac:dyDescent="0.2"/>
    <row r="295" customFormat="1" hidden="1" x14ac:dyDescent="0.2"/>
    <row r="296" customFormat="1" hidden="1" x14ac:dyDescent="0.2"/>
    <row r="297" customFormat="1" hidden="1" x14ac:dyDescent="0.2"/>
    <row r="298" customFormat="1" hidden="1" x14ac:dyDescent="0.2"/>
    <row r="299" customFormat="1" hidden="1" x14ac:dyDescent="0.2"/>
    <row r="300" customFormat="1" hidden="1" x14ac:dyDescent="0.2"/>
    <row r="301" customFormat="1" hidden="1" x14ac:dyDescent="0.2"/>
    <row r="302" customFormat="1" hidden="1" x14ac:dyDescent="0.2"/>
    <row r="303" customFormat="1" hidden="1" x14ac:dyDescent="0.2"/>
    <row r="304" customFormat="1" hidden="1" x14ac:dyDescent="0.2"/>
    <row r="305" customFormat="1" hidden="1" x14ac:dyDescent="0.2"/>
    <row r="306" customFormat="1" hidden="1" x14ac:dyDescent="0.2"/>
    <row r="307" customFormat="1" hidden="1" x14ac:dyDescent="0.2"/>
    <row r="308" customFormat="1" hidden="1" x14ac:dyDescent="0.2"/>
    <row r="309" customFormat="1" hidden="1" x14ac:dyDescent="0.2"/>
    <row r="310" customFormat="1" hidden="1" x14ac:dyDescent="0.2"/>
    <row r="311" customFormat="1" hidden="1" x14ac:dyDescent="0.2"/>
    <row r="312" customFormat="1" hidden="1" x14ac:dyDescent="0.2"/>
    <row r="313" customFormat="1" hidden="1" x14ac:dyDescent="0.2"/>
    <row r="314" customFormat="1" hidden="1" x14ac:dyDescent="0.2"/>
    <row r="315" customFormat="1" hidden="1" x14ac:dyDescent="0.2"/>
    <row r="316" customFormat="1" hidden="1" x14ac:dyDescent="0.2"/>
    <row r="317" customFormat="1" hidden="1" x14ac:dyDescent="0.2"/>
    <row r="318" customFormat="1" hidden="1" x14ac:dyDescent="0.2"/>
    <row r="319" customFormat="1" hidden="1" x14ac:dyDescent="0.2"/>
    <row r="320" customFormat="1" hidden="1" x14ac:dyDescent="0.2"/>
    <row r="321" customFormat="1" hidden="1" x14ac:dyDescent="0.2"/>
    <row r="322" customFormat="1" hidden="1" x14ac:dyDescent="0.2"/>
    <row r="323" customFormat="1" hidden="1" x14ac:dyDescent="0.2"/>
    <row r="324" customFormat="1" hidden="1" x14ac:dyDescent="0.2"/>
    <row r="325" customFormat="1" hidden="1" x14ac:dyDescent="0.2"/>
    <row r="326" customFormat="1" hidden="1" x14ac:dyDescent="0.2"/>
    <row r="327" customFormat="1" hidden="1" x14ac:dyDescent="0.2"/>
    <row r="328" customFormat="1" hidden="1" x14ac:dyDescent="0.2"/>
    <row r="329" customFormat="1" hidden="1" x14ac:dyDescent="0.2"/>
    <row r="330" customFormat="1" hidden="1" x14ac:dyDescent="0.2"/>
    <row r="331" customFormat="1" hidden="1" x14ac:dyDescent="0.2"/>
    <row r="332" customFormat="1" hidden="1" x14ac:dyDescent="0.2"/>
    <row r="333" customFormat="1" hidden="1" x14ac:dyDescent="0.2"/>
    <row r="334" customFormat="1" hidden="1" x14ac:dyDescent="0.2"/>
    <row r="335" customFormat="1" hidden="1" x14ac:dyDescent="0.2"/>
    <row r="336" customFormat="1" hidden="1" x14ac:dyDescent="0.2"/>
    <row r="337" spans="5:22" hidden="1" x14ac:dyDescent="0.2">
      <c r="I337"/>
      <c r="J337"/>
      <c r="K337"/>
      <c r="L337"/>
      <c r="M337"/>
      <c r="N337"/>
      <c r="O337"/>
      <c r="P337"/>
      <c r="Q337"/>
      <c r="R337"/>
      <c r="S337"/>
      <c r="T337"/>
      <c r="U337"/>
      <c r="V337"/>
    </row>
    <row r="338" spans="5:22" hidden="1" x14ac:dyDescent="0.2">
      <c r="I338"/>
      <c r="J338"/>
      <c r="K338"/>
      <c r="L338"/>
      <c r="M338"/>
      <c r="N338"/>
      <c r="O338"/>
      <c r="P338"/>
      <c r="Q338"/>
      <c r="R338"/>
      <c r="S338"/>
      <c r="T338"/>
      <c r="U338"/>
      <c r="V338"/>
    </row>
    <row r="339" spans="5:22" hidden="1" x14ac:dyDescent="0.2">
      <c r="I339"/>
      <c r="J339"/>
      <c r="K339"/>
      <c r="L339"/>
      <c r="M339"/>
      <c r="N339"/>
      <c r="O339"/>
      <c r="P339"/>
      <c r="Q339"/>
      <c r="R339"/>
      <c r="S339"/>
      <c r="T339"/>
      <c r="U339"/>
      <c r="V339"/>
    </row>
    <row r="340" spans="5:22" hidden="1" x14ac:dyDescent="0.2">
      <c r="I340"/>
      <c r="J340"/>
      <c r="K340"/>
      <c r="L340"/>
      <c r="M340"/>
      <c r="N340"/>
      <c r="O340"/>
      <c r="P340"/>
      <c r="Q340"/>
      <c r="R340"/>
      <c r="S340"/>
      <c r="T340"/>
      <c r="U340"/>
      <c r="V340"/>
    </row>
    <row r="341" spans="5:22" hidden="1" x14ac:dyDescent="0.2">
      <c r="I341"/>
      <c r="J341"/>
      <c r="K341"/>
      <c r="L341"/>
      <c r="M341"/>
      <c r="N341"/>
      <c r="O341"/>
      <c r="P341"/>
      <c r="Q341"/>
      <c r="R341"/>
      <c r="S341"/>
      <c r="T341"/>
      <c r="U341"/>
      <c r="V341"/>
    </row>
    <row r="342" spans="5:22" hidden="1" x14ac:dyDescent="0.2">
      <c r="I342"/>
      <c r="J342"/>
      <c r="K342"/>
      <c r="L342"/>
      <c r="M342"/>
      <c r="N342"/>
      <c r="O342"/>
      <c r="P342"/>
      <c r="Q342"/>
      <c r="R342"/>
      <c r="S342"/>
      <c r="T342"/>
      <c r="U342"/>
      <c r="V342"/>
    </row>
    <row r="343" spans="5:22" hidden="1" x14ac:dyDescent="0.2">
      <c r="I343"/>
      <c r="J343"/>
      <c r="K343"/>
      <c r="L343"/>
      <c r="M343"/>
      <c r="N343"/>
      <c r="O343"/>
      <c r="P343"/>
      <c r="Q343"/>
      <c r="R343"/>
      <c r="S343"/>
      <c r="T343"/>
      <c r="U343"/>
      <c r="V343"/>
    </row>
    <row r="344" spans="5:22" hidden="1" x14ac:dyDescent="0.2">
      <c r="I344"/>
      <c r="J344"/>
      <c r="K344"/>
      <c r="L344"/>
      <c r="M344"/>
      <c r="N344"/>
      <c r="O344"/>
      <c r="P344"/>
      <c r="Q344"/>
      <c r="R344"/>
      <c r="S344"/>
      <c r="T344"/>
      <c r="U344"/>
      <c r="V344"/>
    </row>
    <row r="345" spans="5:22" hidden="1" x14ac:dyDescent="0.2">
      <c r="I345"/>
      <c r="J345"/>
      <c r="K345"/>
      <c r="L345"/>
      <c r="M345"/>
      <c r="N345"/>
      <c r="O345"/>
      <c r="P345"/>
      <c r="Q345"/>
      <c r="R345"/>
      <c r="S345"/>
      <c r="T345"/>
      <c r="U345"/>
      <c r="V345"/>
    </row>
    <row r="346" spans="5:22" hidden="1" x14ac:dyDescent="0.2">
      <c r="I346"/>
      <c r="J346"/>
      <c r="K346"/>
      <c r="L346"/>
      <c r="M346"/>
      <c r="N346"/>
      <c r="O346"/>
      <c r="P346"/>
      <c r="Q346"/>
      <c r="R346"/>
      <c r="S346"/>
      <c r="T346"/>
      <c r="U346"/>
      <c r="V346"/>
    </row>
    <row r="347" spans="5:22" hidden="1" x14ac:dyDescent="0.2">
      <c r="I347"/>
      <c r="J347"/>
      <c r="K347"/>
      <c r="L347"/>
      <c r="M347"/>
      <c r="N347"/>
      <c r="O347"/>
      <c r="P347"/>
      <c r="Q347"/>
      <c r="R347"/>
      <c r="S347"/>
      <c r="T347"/>
      <c r="U347"/>
      <c r="V347"/>
    </row>
    <row r="348" spans="5:22" hidden="1" x14ac:dyDescent="0.2">
      <c r="I348"/>
      <c r="J348"/>
      <c r="K348"/>
      <c r="L348"/>
      <c r="M348"/>
      <c r="N348"/>
      <c r="O348"/>
      <c r="P348"/>
      <c r="Q348"/>
      <c r="R348"/>
      <c r="S348"/>
      <c r="T348"/>
      <c r="U348"/>
      <c r="V348"/>
    </row>
    <row r="349" spans="5:22" hidden="1" x14ac:dyDescent="0.2">
      <c r="I349"/>
      <c r="J349"/>
      <c r="K349"/>
      <c r="L349"/>
      <c r="M349"/>
      <c r="N349"/>
      <c r="O349"/>
      <c r="P349"/>
      <c r="Q349"/>
      <c r="R349"/>
      <c r="S349"/>
      <c r="T349"/>
      <c r="U349"/>
      <c r="V349"/>
    </row>
    <row r="350" spans="5:22" hidden="1" x14ac:dyDescent="0.2">
      <c r="E350" s="29"/>
      <c r="I350"/>
      <c r="J350"/>
      <c r="K350"/>
      <c r="L350"/>
      <c r="M350"/>
      <c r="N350"/>
      <c r="O350"/>
      <c r="P350"/>
      <c r="Q350"/>
      <c r="R350"/>
      <c r="S350"/>
      <c r="T350"/>
      <c r="U350"/>
      <c r="V350"/>
    </row>
    <row r="351" spans="5:22" hidden="1" x14ac:dyDescent="0.2">
      <c r="E351" s="29"/>
      <c r="I351"/>
      <c r="J351"/>
      <c r="K351"/>
      <c r="L351"/>
      <c r="M351"/>
      <c r="N351"/>
      <c r="O351"/>
      <c r="P351"/>
      <c r="Q351"/>
      <c r="R351"/>
      <c r="S351"/>
      <c r="T351"/>
      <c r="U351"/>
      <c r="V351"/>
    </row>
    <row r="352" spans="5:22" hidden="1" x14ac:dyDescent="0.2">
      <c r="E352" s="29"/>
      <c r="I352"/>
      <c r="J352"/>
      <c r="K352"/>
      <c r="L352"/>
      <c r="M352"/>
      <c r="N352"/>
      <c r="O352"/>
      <c r="P352"/>
      <c r="Q352"/>
      <c r="R352"/>
      <c r="S352"/>
      <c r="T352"/>
      <c r="U352"/>
      <c r="V352"/>
    </row>
    <row r="353" spans="5:22" hidden="1" x14ac:dyDescent="0.2">
      <c r="E353" s="29"/>
      <c r="I353"/>
      <c r="J353"/>
      <c r="K353"/>
      <c r="L353"/>
      <c r="M353"/>
      <c r="N353"/>
      <c r="O353"/>
      <c r="P353"/>
      <c r="Q353"/>
      <c r="R353"/>
      <c r="S353"/>
      <c r="T353"/>
      <c r="U353"/>
      <c r="V353"/>
    </row>
    <row r="354" spans="5:22" hidden="1" x14ac:dyDescent="0.2">
      <c r="E354" s="29"/>
      <c r="I354"/>
      <c r="J354"/>
      <c r="K354"/>
      <c r="L354"/>
      <c r="M354"/>
      <c r="N354"/>
      <c r="O354"/>
      <c r="P354"/>
      <c r="Q354"/>
      <c r="R354"/>
      <c r="S354"/>
      <c r="T354"/>
      <c r="U354"/>
      <c r="V354"/>
    </row>
    <row r="355" spans="5:22" hidden="1" x14ac:dyDescent="0.2">
      <c r="E355" s="29"/>
      <c r="I355"/>
      <c r="J355"/>
      <c r="K355"/>
      <c r="L355"/>
      <c r="M355"/>
      <c r="N355"/>
      <c r="O355"/>
      <c r="P355"/>
      <c r="Q355"/>
      <c r="R355"/>
      <c r="S355"/>
      <c r="T355"/>
      <c r="U355"/>
      <c r="V355"/>
    </row>
    <row r="356" spans="5:22" hidden="1" x14ac:dyDescent="0.2">
      <c r="E356" s="29"/>
      <c r="F356" s="29"/>
      <c r="G356" s="29"/>
      <c r="I356"/>
      <c r="J356"/>
      <c r="K356"/>
      <c r="L356"/>
      <c r="M356"/>
      <c r="N356"/>
      <c r="O356"/>
      <c r="P356"/>
      <c r="Q356"/>
      <c r="R356"/>
      <c r="S356"/>
      <c r="T356"/>
      <c r="U356"/>
      <c r="V356"/>
    </row>
    <row r="357" spans="5:22" hidden="1" x14ac:dyDescent="0.2">
      <c r="E357" s="29"/>
      <c r="F357" s="29"/>
      <c r="G357" s="29"/>
      <c r="I357"/>
      <c r="J357"/>
      <c r="K357"/>
      <c r="L357"/>
      <c r="M357"/>
      <c r="N357"/>
      <c r="O357"/>
      <c r="P357"/>
      <c r="Q357"/>
      <c r="R357"/>
      <c r="S357"/>
      <c r="T357"/>
      <c r="U357"/>
      <c r="V357"/>
    </row>
    <row r="358" spans="5:22" hidden="1" x14ac:dyDescent="0.2">
      <c r="E358" s="29"/>
      <c r="F358" s="29"/>
      <c r="G358" s="29"/>
      <c r="I358"/>
      <c r="J358"/>
      <c r="K358"/>
      <c r="L358"/>
      <c r="M358"/>
      <c r="N358"/>
      <c r="O358"/>
      <c r="P358"/>
      <c r="Q358"/>
      <c r="R358"/>
      <c r="S358"/>
      <c r="T358"/>
      <c r="U358"/>
      <c r="V358"/>
    </row>
    <row r="359" spans="5:22" hidden="1" x14ac:dyDescent="0.2">
      <c r="E359" s="29"/>
      <c r="F359" s="29"/>
      <c r="G359" s="29"/>
      <c r="I359"/>
      <c r="J359"/>
      <c r="K359"/>
      <c r="L359"/>
      <c r="M359"/>
      <c r="N359"/>
      <c r="O359"/>
      <c r="P359"/>
      <c r="Q359"/>
      <c r="R359"/>
      <c r="S359"/>
      <c r="T359"/>
      <c r="U359"/>
      <c r="V359"/>
    </row>
    <row r="360" spans="5:22" hidden="1" x14ac:dyDescent="0.2">
      <c r="E360" s="29"/>
      <c r="F360" s="29"/>
      <c r="G360" s="29"/>
      <c r="I360"/>
      <c r="J360"/>
      <c r="K360"/>
      <c r="L360"/>
      <c r="M360"/>
      <c r="N360"/>
      <c r="O360"/>
      <c r="P360"/>
      <c r="Q360"/>
      <c r="R360"/>
      <c r="S360"/>
      <c r="T360"/>
      <c r="U360"/>
      <c r="V360"/>
    </row>
    <row r="361" spans="5:22" hidden="1" x14ac:dyDescent="0.2">
      <c r="E361" s="29"/>
      <c r="F361" s="29"/>
      <c r="G361" s="29"/>
      <c r="I361"/>
      <c r="J361"/>
      <c r="K361"/>
      <c r="L361"/>
      <c r="M361"/>
      <c r="N361"/>
      <c r="O361"/>
      <c r="P361"/>
      <c r="Q361"/>
      <c r="R361"/>
      <c r="S361"/>
      <c r="T361"/>
      <c r="U361"/>
      <c r="V361"/>
    </row>
    <row r="362" spans="5:22" hidden="1" x14ac:dyDescent="0.2">
      <c r="E362" s="29"/>
      <c r="F362" s="29"/>
      <c r="G362" s="29"/>
      <c r="I362"/>
      <c r="J362"/>
      <c r="K362"/>
      <c r="L362"/>
      <c r="M362"/>
      <c r="N362"/>
      <c r="O362"/>
      <c r="P362"/>
      <c r="Q362"/>
      <c r="R362"/>
      <c r="S362"/>
      <c r="T362"/>
      <c r="U362"/>
      <c r="V362"/>
    </row>
    <row r="363" spans="5:22" hidden="1" x14ac:dyDescent="0.2">
      <c r="E363" s="29"/>
      <c r="F363" s="29"/>
      <c r="G363" s="29"/>
      <c r="I363"/>
      <c r="J363"/>
      <c r="K363"/>
      <c r="L363"/>
      <c r="M363"/>
      <c r="N363"/>
      <c r="O363"/>
      <c r="P363"/>
      <c r="Q363"/>
      <c r="R363"/>
      <c r="S363"/>
      <c r="T363"/>
      <c r="U363"/>
      <c r="V363"/>
    </row>
    <row r="364" spans="5:22" hidden="1" x14ac:dyDescent="0.2">
      <c r="E364" s="29"/>
      <c r="F364" s="29"/>
      <c r="G364" s="29"/>
      <c r="I364"/>
      <c r="J364"/>
      <c r="K364"/>
      <c r="L364"/>
      <c r="M364"/>
      <c r="N364"/>
      <c r="O364"/>
      <c r="P364"/>
      <c r="Q364"/>
      <c r="R364"/>
      <c r="S364"/>
      <c r="T364"/>
      <c r="U364"/>
      <c r="V364"/>
    </row>
    <row r="365" spans="5:22" hidden="1" x14ac:dyDescent="0.2">
      <c r="E365" s="29"/>
      <c r="F365" s="29"/>
      <c r="G365" s="29"/>
      <c r="I365"/>
      <c r="J365"/>
      <c r="K365"/>
      <c r="L365"/>
      <c r="M365"/>
      <c r="N365"/>
      <c r="O365"/>
      <c r="P365"/>
      <c r="Q365"/>
      <c r="R365"/>
      <c r="S365"/>
      <c r="T365"/>
      <c r="U365"/>
      <c r="V365"/>
    </row>
    <row r="366" spans="5:22" hidden="1" x14ac:dyDescent="0.2">
      <c r="E366" s="29"/>
      <c r="F366" s="29"/>
      <c r="G366" s="29"/>
      <c r="I366"/>
      <c r="J366"/>
      <c r="K366"/>
      <c r="L366"/>
      <c r="M366"/>
      <c r="N366"/>
      <c r="O366"/>
      <c r="P366"/>
      <c r="Q366"/>
      <c r="R366"/>
      <c r="S366"/>
      <c r="T366"/>
      <c r="U366"/>
      <c r="V366"/>
    </row>
    <row r="367" spans="5:22" hidden="1" x14ac:dyDescent="0.2">
      <c r="E367" s="29"/>
      <c r="F367" s="29"/>
      <c r="G367" s="29"/>
      <c r="I367"/>
      <c r="J367"/>
      <c r="K367"/>
      <c r="L367"/>
      <c r="M367"/>
      <c r="N367"/>
      <c r="O367"/>
      <c r="P367"/>
      <c r="Q367"/>
      <c r="R367"/>
      <c r="S367"/>
      <c r="T367"/>
      <c r="U367"/>
      <c r="V367"/>
    </row>
    <row r="368" spans="5:22" hidden="1" x14ac:dyDescent="0.2">
      <c r="E368" s="29"/>
      <c r="F368" s="29"/>
      <c r="G368" s="29"/>
      <c r="I368"/>
      <c r="J368"/>
      <c r="K368"/>
      <c r="L368"/>
      <c r="M368"/>
      <c r="N368"/>
      <c r="O368"/>
      <c r="P368"/>
      <c r="Q368"/>
      <c r="R368"/>
      <c r="S368"/>
      <c r="T368"/>
      <c r="U368"/>
      <c r="V368"/>
    </row>
    <row r="369" spans="5:22" hidden="1" x14ac:dyDescent="0.2">
      <c r="E369" s="29"/>
      <c r="F369" s="29"/>
      <c r="G369" s="29"/>
      <c r="I369"/>
      <c r="J369"/>
      <c r="K369"/>
      <c r="L369"/>
      <c r="M369"/>
      <c r="N369"/>
      <c r="O369"/>
      <c r="P369"/>
      <c r="Q369"/>
      <c r="R369"/>
      <c r="S369"/>
      <c r="T369"/>
      <c r="U369"/>
      <c r="V369"/>
    </row>
    <row r="370" spans="5:22" hidden="1" x14ac:dyDescent="0.2">
      <c r="E370" s="29"/>
      <c r="F370" s="29"/>
      <c r="G370" s="29"/>
      <c r="I370"/>
      <c r="J370"/>
      <c r="K370"/>
      <c r="L370"/>
      <c r="M370"/>
      <c r="N370"/>
      <c r="O370"/>
      <c r="P370"/>
      <c r="Q370"/>
      <c r="R370"/>
      <c r="S370"/>
      <c r="T370"/>
      <c r="U370"/>
      <c r="V370"/>
    </row>
    <row r="371" spans="5:22" hidden="1" x14ac:dyDescent="0.2">
      <c r="E371" s="29"/>
      <c r="F371" s="29"/>
      <c r="G371" s="29"/>
      <c r="I371"/>
      <c r="J371"/>
      <c r="K371"/>
      <c r="L371"/>
      <c r="M371"/>
      <c r="N371"/>
      <c r="O371"/>
      <c r="P371"/>
      <c r="Q371"/>
      <c r="R371"/>
      <c r="S371"/>
      <c r="T371"/>
      <c r="U371"/>
      <c r="V371"/>
    </row>
    <row r="372" spans="5:22" hidden="1" x14ac:dyDescent="0.2">
      <c r="E372" s="29"/>
      <c r="F372" s="29"/>
      <c r="G372" s="29"/>
      <c r="I372"/>
      <c r="J372"/>
      <c r="K372"/>
      <c r="L372"/>
      <c r="M372"/>
      <c r="N372"/>
      <c r="O372"/>
      <c r="P372"/>
      <c r="Q372"/>
      <c r="R372"/>
      <c r="S372"/>
      <c r="T372"/>
      <c r="U372"/>
      <c r="V372"/>
    </row>
    <row r="373" spans="5:22" hidden="1" x14ac:dyDescent="0.2">
      <c r="E373" s="29"/>
      <c r="F373" s="29"/>
      <c r="G373" s="29"/>
      <c r="I373"/>
      <c r="J373"/>
      <c r="K373"/>
      <c r="L373"/>
      <c r="M373"/>
      <c r="N373"/>
      <c r="O373"/>
      <c r="P373"/>
      <c r="Q373"/>
      <c r="R373"/>
      <c r="S373"/>
      <c r="T373"/>
      <c r="U373"/>
      <c r="V373"/>
    </row>
    <row r="374" spans="5:22" hidden="1" x14ac:dyDescent="0.2">
      <c r="E374" s="29"/>
      <c r="F374" s="29"/>
      <c r="G374" s="29"/>
      <c r="I374"/>
      <c r="J374"/>
      <c r="K374"/>
      <c r="L374"/>
      <c r="M374"/>
      <c r="N374"/>
      <c r="O374"/>
      <c r="P374"/>
      <c r="Q374"/>
      <c r="R374"/>
      <c r="S374"/>
      <c r="T374"/>
      <c r="U374"/>
      <c r="V374"/>
    </row>
    <row r="375" spans="5:22" hidden="1" x14ac:dyDescent="0.2">
      <c r="E375" s="29"/>
      <c r="F375" s="29"/>
      <c r="G375" s="29"/>
      <c r="I375"/>
      <c r="J375"/>
      <c r="K375"/>
      <c r="L375"/>
      <c r="M375"/>
      <c r="N375"/>
      <c r="O375"/>
      <c r="P375"/>
      <c r="Q375"/>
      <c r="R375"/>
      <c r="S375"/>
      <c r="T375"/>
      <c r="U375"/>
      <c r="V375"/>
    </row>
    <row r="376" spans="5:22" hidden="1" x14ac:dyDescent="0.2">
      <c r="E376" s="29"/>
      <c r="F376" s="29"/>
      <c r="G376" s="29"/>
    </row>
    <row r="377" spans="5:22" hidden="1" x14ac:dyDescent="0.2">
      <c r="E377" s="29"/>
      <c r="F377" s="29"/>
      <c r="G377" s="29"/>
    </row>
    <row r="378" spans="5:22" hidden="1" x14ac:dyDescent="0.2">
      <c r="E378" s="29"/>
      <c r="F378" s="29"/>
      <c r="G378" s="29"/>
    </row>
    <row r="379" spans="5:22" hidden="1" x14ac:dyDescent="0.2">
      <c r="E379" s="29"/>
      <c r="F379" s="29"/>
      <c r="G379" s="29"/>
    </row>
    <row r="380" spans="5:22" hidden="1" x14ac:dyDescent="0.2">
      <c r="E380" s="29"/>
      <c r="F380" s="29"/>
      <c r="G380" s="29"/>
    </row>
    <row r="381" spans="5:22" hidden="1" x14ac:dyDescent="0.2">
      <c r="E381" s="29"/>
    </row>
    <row r="382" spans="5:22" hidden="1" x14ac:dyDescent="0.2">
      <c r="E382" s="29"/>
    </row>
    <row r="383" spans="5:22" hidden="1" x14ac:dyDescent="0.2">
      <c r="E383" s="29"/>
    </row>
    <row r="384" spans="5:22" hidden="1" x14ac:dyDescent="0.2">
      <c r="E384" s="29"/>
    </row>
    <row r="385" spans="5:5" hidden="1" x14ac:dyDescent="0.2">
      <c r="E385" s="29"/>
    </row>
    <row r="386" spans="5:5" hidden="1" x14ac:dyDescent="0.2">
      <c r="E386" s="29"/>
    </row>
    <row r="387" spans="5:5" hidden="1" x14ac:dyDescent="0.2">
      <c r="E387" s="29"/>
    </row>
    <row r="388" spans="5:5" hidden="1" x14ac:dyDescent="0.2">
      <c r="E388" s="29"/>
    </row>
    <row r="389" spans="5:5" hidden="1" x14ac:dyDescent="0.2">
      <c r="E389" s="29"/>
    </row>
    <row r="390" spans="5:5" hidden="1" x14ac:dyDescent="0.2">
      <c r="E390" s="29"/>
    </row>
    <row r="391" spans="5:5" hidden="1" x14ac:dyDescent="0.2">
      <c r="E391" s="29"/>
    </row>
    <row r="392" spans="5:5" hidden="1" x14ac:dyDescent="0.2">
      <c r="E392" s="29"/>
    </row>
    <row r="393" spans="5:5" hidden="1" x14ac:dyDescent="0.2">
      <c r="E393" s="29"/>
    </row>
    <row r="394" spans="5:5" hidden="1" x14ac:dyDescent="0.2">
      <c r="E394" s="29"/>
    </row>
    <row r="395" spans="5:5" hidden="1" x14ac:dyDescent="0.2">
      <c r="E395" s="29"/>
    </row>
    <row r="396" spans="5:5" hidden="1" x14ac:dyDescent="0.2">
      <c r="E396" s="29"/>
    </row>
    <row r="397" spans="5:5" hidden="1" x14ac:dyDescent="0.2">
      <c r="E397" s="29"/>
    </row>
    <row r="398" spans="5:5" hidden="1" x14ac:dyDescent="0.2">
      <c r="E398" s="29"/>
    </row>
    <row r="399" spans="5:5" hidden="1" x14ac:dyDescent="0.2">
      <c r="E399" s="29"/>
    </row>
    <row r="400" spans="5:5" hidden="1" x14ac:dyDescent="0.2">
      <c r="E400" s="29"/>
    </row>
    <row r="401" spans="5:5" hidden="1" x14ac:dyDescent="0.2">
      <c r="E401" s="29"/>
    </row>
    <row r="402" spans="5:5" hidden="1" x14ac:dyDescent="0.2">
      <c r="E402" s="29"/>
    </row>
    <row r="403" spans="5:5" hidden="1" x14ac:dyDescent="0.2">
      <c r="E403" s="29"/>
    </row>
    <row r="404" spans="5:5" hidden="1" x14ac:dyDescent="0.2">
      <c r="E404" s="29"/>
    </row>
    <row r="405" spans="5:5" hidden="1" x14ac:dyDescent="0.2">
      <c r="E405" s="29"/>
    </row>
    <row r="406" spans="5:5" hidden="1" x14ac:dyDescent="0.2">
      <c r="E406" s="29"/>
    </row>
    <row r="407" spans="5:5" hidden="1" x14ac:dyDescent="0.2">
      <c r="E407" s="29"/>
    </row>
    <row r="408" spans="5:5" hidden="1" x14ac:dyDescent="0.2">
      <c r="E408" s="29"/>
    </row>
    <row r="409" spans="5:5" hidden="1" x14ac:dyDescent="0.2">
      <c r="E409" s="29"/>
    </row>
    <row r="410" spans="5:5" hidden="1" x14ac:dyDescent="0.2">
      <c r="E410" s="29"/>
    </row>
    <row r="411" spans="5:5" hidden="1" x14ac:dyDescent="0.2">
      <c r="E411" s="29"/>
    </row>
    <row r="412" spans="5:5" hidden="1" x14ac:dyDescent="0.2">
      <c r="E412" s="29"/>
    </row>
    <row r="413" spans="5:5" hidden="1" x14ac:dyDescent="0.2">
      <c r="E413" s="29"/>
    </row>
    <row r="414" spans="5:5" hidden="1" x14ac:dyDescent="0.2">
      <c r="E414" s="29"/>
    </row>
    <row r="415" spans="5:5" hidden="1" x14ac:dyDescent="0.2">
      <c r="E415" s="29"/>
    </row>
    <row r="416" spans="5:5" hidden="1" x14ac:dyDescent="0.2">
      <c r="E416" s="29"/>
    </row>
    <row r="417" spans="5:5" hidden="1" x14ac:dyDescent="0.2">
      <c r="E417" s="29"/>
    </row>
    <row r="418" spans="5:5" hidden="1" x14ac:dyDescent="0.2">
      <c r="E418" s="29"/>
    </row>
    <row r="419" spans="5:5" hidden="1" x14ac:dyDescent="0.2">
      <c r="E419" s="29"/>
    </row>
    <row r="420" spans="5:5" hidden="1" x14ac:dyDescent="0.2">
      <c r="E420" s="29"/>
    </row>
    <row r="421" spans="5:5" hidden="1" x14ac:dyDescent="0.2">
      <c r="E421" s="29"/>
    </row>
    <row r="422" spans="5:5" hidden="1" x14ac:dyDescent="0.2">
      <c r="E422" s="29"/>
    </row>
    <row r="423" spans="5:5" hidden="1" x14ac:dyDescent="0.2">
      <c r="E423" s="29"/>
    </row>
    <row r="424" spans="5:5" hidden="1" x14ac:dyDescent="0.2">
      <c r="E424" s="29"/>
    </row>
    <row r="425" spans="5:5" hidden="1" x14ac:dyDescent="0.2">
      <c r="E425" s="29"/>
    </row>
    <row r="426" spans="5:5" hidden="1" x14ac:dyDescent="0.2">
      <c r="E426" s="29"/>
    </row>
    <row r="427" spans="5:5" hidden="1" x14ac:dyDescent="0.2">
      <c r="E427" s="29"/>
    </row>
    <row r="428" spans="5:5" hidden="1" x14ac:dyDescent="0.2">
      <c r="E428" s="29"/>
    </row>
    <row r="429" spans="5:5" hidden="1" x14ac:dyDescent="0.2">
      <c r="E429" s="29"/>
    </row>
    <row r="430" spans="5:5" hidden="1" x14ac:dyDescent="0.2">
      <c r="E430" s="29"/>
    </row>
    <row r="431" spans="5:5" hidden="1" x14ac:dyDescent="0.2">
      <c r="E431" s="29"/>
    </row>
    <row r="432" spans="5:5" hidden="1" x14ac:dyDescent="0.2">
      <c r="E432" s="29"/>
    </row>
    <row r="433" spans="5:5" hidden="1" x14ac:dyDescent="0.2">
      <c r="E433" s="29"/>
    </row>
    <row r="434" spans="5:5" x14ac:dyDescent="0.2"/>
  </sheetData>
  <sheetProtection algorithmName="SHA-512" hashValue="aGp6ZTdxmYTu7N+RJLKUxIc7GbQLcf47T/euz37rdTgZ9cdPonyPveY01DjBcnQJ3LbyVbuNpEX6CU5HJ4n4pw==" saltValue="DI6YFsi21DtTP2gHGlDn4w==" spinCount="100000" sheet="1" objects="1" scenarios="1" selectLockedCells="1"/>
  <mergeCells count="112">
    <mergeCell ref="J262:Q262"/>
    <mergeCell ref="O243:P243"/>
    <mergeCell ref="O244:P244"/>
    <mergeCell ref="O245:P245"/>
    <mergeCell ref="O246:P246"/>
    <mergeCell ref="O247:P247"/>
    <mergeCell ref="O248:P248"/>
    <mergeCell ref="N236:O236"/>
    <mergeCell ref="P236:Q236"/>
    <mergeCell ref="R236:S236"/>
    <mergeCell ref="P232:Q232"/>
    <mergeCell ref="N233:O233"/>
    <mergeCell ref="P233:Q233"/>
    <mergeCell ref="N235:O235"/>
    <mergeCell ref="P235:Q235"/>
    <mergeCell ref="R233:S233"/>
    <mergeCell ref="R232:S232"/>
    <mergeCell ref="N232:O232"/>
    <mergeCell ref="R218:S218"/>
    <mergeCell ref="R228:S228"/>
    <mergeCell ref="R229:S229"/>
    <mergeCell ref="R230:S230"/>
    <mergeCell ref="P230:Q230"/>
    <mergeCell ref="N228:O228"/>
    <mergeCell ref="P228:Q228"/>
    <mergeCell ref="N229:O229"/>
    <mergeCell ref="P229:Q229"/>
    <mergeCell ref="N230:O230"/>
    <mergeCell ref="A2:H2"/>
    <mergeCell ref="L125:M125"/>
    <mergeCell ref="K168:L168"/>
    <mergeCell ref="M168:N168"/>
    <mergeCell ref="L140:M140"/>
    <mergeCell ref="L153:M153"/>
    <mergeCell ref="L141:M141"/>
    <mergeCell ref="L136:M136"/>
    <mergeCell ref="L154:M154"/>
    <mergeCell ref="L82:N82"/>
    <mergeCell ref="L101:N101"/>
    <mergeCell ref="J70:L71"/>
    <mergeCell ref="L78:M78"/>
    <mergeCell ref="L122:M122"/>
    <mergeCell ref="L127:M127"/>
    <mergeCell ref="AK13:AN13"/>
    <mergeCell ref="AQ14:AS15"/>
    <mergeCell ref="AI13:AJ13"/>
    <mergeCell ref="W2:AQ2"/>
    <mergeCell ref="R221:S221"/>
    <mergeCell ref="O70:R71"/>
    <mergeCell ref="P221:Q221"/>
    <mergeCell ref="P220:Q220"/>
    <mergeCell ref="P213:Q213"/>
    <mergeCell ref="P214:Q214"/>
    <mergeCell ref="P215:Q215"/>
    <mergeCell ref="P217:Q217"/>
    <mergeCell ref="R213:S213"/>
    <mergeCell ref="R214:S214"/>
    <mergeCell ref="R215:S215"/>
    <mergeCell ref="R217:S217"/>
    <mergeCell ref="N218:O218"/>
    <mergeCell ref="N213:O213"/>
    <mergeCell ref="N214:O214"/>
    <mergeCell ref="N215:O215"/>
    <mergeCell ref="N217:O217"/>
    <mergeCell ref="P218:Q218"/>
    <mergeCell ref="N221:O221"/>
    <mergeCell ref="N220:O220"/>
    <mergeCell ref="M181:N181"/>
    <mergeCell ref="K179:L179"/>
    <mergeCell ref="K178:L178"/>
    <mergeCell ref="M179:N179"/>
    <mergeCell ref="M176:N176"/>
    <mergeCell ref="M172:N172"/>
    <mergeCell ref="K176:L176"/>
    <mergeCell ref="K193:L193"/>
    <mergeCell ref="K195:L195"/>
    <mergeCell ref="K191:L191"/>
    <mergeCell ref="K188:L188"/>
    <mergeCell ref="M190:N190"/>
    <mergeCell ref="M193:N193"/>
    <mergeCell ref="M195:N195"/>
    <mergeCell ref="M188:N188"/>
    <mergeCell ref="K189:L189"/>
    <mergeCell ref="K192:L192"/>
    <mergeCell ref="M189:N189"/>
    <mergeCell ref="M192:N192"/>
    <mergeCell ref="M191:N191"/>
    <mergeCell ref="K190:L190"/>
    <mergeCell ref="J269:S269"/>
    <mergeCell ref="J270:T270"/>
    <mergeCell ref="J265:S265"/>
    <mergeCell ref="BC14:BF14"/>
    <mergeCell ref="M174:N174"/>
    <mergeCell ref="M171:N171"/>
    <mergeCell ref="K170:L170"/>
    <mergeCell ref="AI14:AJ14"/>
    <mergeCell ref="AK14:AL14"/>
    <mergeCell ref="AM14:AN14"/>
    <mergeCell ref="K169:L169"/>
    <mergeCell ref="K171:L171"/>
    <mergeCell ref="K172:L172"/>
    <mergeCell ref="K174:L174"/>
    <mergeCell ref="M169:N169"/>
    <mergeCell ref="K173:L173"/>
    <mergeCell ref="K187:L187"/>
    <mergeCell ref="M187:N187"/>
    <mergeCell ref="M182:N182"/>
    <mergeCell ref="K182:L182"/>
    <mergeCell ref="M170:N170"/>
    <mergeCell ref="M173:N173"/>
    <mergeCell ref="M178:N178"/>
    <mergeCell ref="K181:L181"/>
  </mergeCells>
  <phoneticPr fontId="8" type="noConversion"/>
  <conditionalFormatting sqref="I53:N56 I57 K57:N57 I58:N63">
    <cfRule type="expression" dxfId="16" priority="17">
      <formula>$L$68&lt;&gt;0</formula>
    </cfRule>
  </conditionalFormatting>
  <conditionalFormatting sqref="I41:V53">
    <cfRule type="expression" dxfId="15" priority="26">
      <formula>AND($L$68&lt;&gt;0,$R$68&lt;&gt;0)</formula>
    </cfRule>
  </conditionalFormatting>
  <conditionalFormatting sqref="J57">
    <cfRule type="expression" dxfId="14" priority="12">
      <formula>$R$68&lt;&gt;0</formula>
    </cfRule>
  </conditionalFormatting>
  <conditionalFormatting sqref="J203 L203">
    <cfRule type="expression" dxfId="13" priority="8">
      <formula>IF($L$68&lt;&gt;0,1,0)</formula>
    </cfRule>
  </conditionalFormatting>
  <conditionalFormatting sqref="J202:L202">
    <cfRule type="expression" dxfId="12" priority="10">
      <formula>IF($L$68=0,1,0)</formula>
    </cfRule>
  </conditionalFormatting>
  <conditionalFormatting sqref="K203">
    <cfRule type="expression" dxfId="11" priority="9">
      <formula>IF($L$68&lt;&gt;0,1,0)</formula>
    </cfRule>
  </conditionalFormatting>
  <conditionalFormatting sqref="L11:L13">
    <cfRule type="expression" dxfId="10" priority="1">
      <formula>AND($L$68&lt;&gt;0,$R$68&lt;&gt;0)</formula>
    </cfRule>
  </conditionalFormatting>
  <conditionalFormatting sqref="L89">
    <cfRule type="expression" dxfId="9" priority="18">
      <formula>LEFT(L78,6)="Column"</formula>
    </cfRule>
  </conditionalFormatting>
  <conditionalFormatting sqref="L90">
    <cfRule type="expression" dxfId="8" priority="11">
      <formula>LEFT($L$78,4)="Beam"</formula>
    </cfRule>
    <cfRule type="expression" dxfId="7" priority="19">
      <formula>OR(L78="Column with routing",L78="Column without routing")</formula>
    </cfRule>
  </conditionalFormatting>
  <conditionalFormatting sqref="O202">
    <cfRule type="expression" dxfId="6" priority="5">
      <formula>IF($R$68=0,1,0)</formula>
    </cfRule>
  </conditionalFormatting>
  <conditionalFormatting sqref="O203:Q203">
    <cfRule type="expression" dxfId="5" priority="2">
      <formula>IF($R$68&lt;&gt;0,1,0)</formula>
    </cfRule>
  </conditionalFormatting>
  <conditionalFormatting sqref="O53:U63">
    <cfRule type="expression" dxfId="4" priority="15">
      <formula>$R$68&lt;&gt;0</formula>
    </cfRule>
  </conditionalFormatting>
  <conditionalFormatting sqref="P202">
    <cfRule type="expression" dxfId="3" priority="6">
      <formula>IF($R$68=0,1,0)</formula>
    </cfRule>
  </conditionalFormatting>
  <conditionalFormatting sqref="Q202">
    <cfRule type="expression" dxfId="2" priority="7">
      <formula>IF($R$68=0,1,0)</formula>
    </cfRule>
  </conditionalFormatting>
  <conditionalFormatting sqref="R221 R236">
    <cfRule type="cellIs" dxfId="1" priority="20" operator="equal">
      <formula>"VERIFIED"</formula>
    </cfRule>
    <cfRule type="cellIs" dxfId="0" priority="21" operator="equal">
      <formula>"NOT VERIFIED"</formula>
    </cfRule>
  </conditionalFormatting>
  <dataValidations count="6">
    <dataValidation type="list" allowBlank="1" showInputMessage="1" showErrorMessage="1" sqref="L153:M153 L140:M140" xr:uid="{C692B365-45A1-4DBC-AFA7-7155331ACDFD}">
      <formula1>$AR$17:$AR$39</formula1>
    </dataValidation>
    <dataValidation type="list" allowBlank="1" showInputMessage="1" showErrorMessage="1" sqref="L95 L116" xr:uid="{8B901458-0605-472F-8B95-532E3C007FF1}">
      <formula1>$AH$56:$AH$57</formula1>
    </dataValidation>
    <dataValidation type="list" allowBlank="1" showInputMessage="1" showErrorMessage="1" sqref="L101 L82" xr:uid="{C9A451F7-9EC8-4603-9C0B-3482EC0791EA}">
      <formula1>$A$17:$A$53</formula1>
    </dataValidation>
    <dataValidation type="list" allowBlank="1" showInputMessage="1" showErrorMessage="1" sqref="L78" xr:uid="{B1BEDE0B-D000-4EB5-86AE-6334077190DA}">
      <formula1>$AH$59:$AH$62</formula1>
    </dataValidation>
    <dataValidation type="list" allowBlank="1" showInputMessage="1" showErrorMessage="1" sqref="L122:M122" xr:uid="{54CF9FEF-485E-4073-86BA-E06084E7EF3D}">
      <formula1>$AA$8:$AA$9</formula1>
    </dataValidation>
    <dataValidation type="list" allowBlank="1" showInputMessage="1" showErrorMessage="1" sqref="L125:M125" xr:uid="{F75457C8-16BA-435A-B6A4-68C845D753B7}">
      <formula1>$AA$16:$AA$42</formula1>
    </dataValidation>
  </dataValidations>
  <pageMargins left="0.23622047244094491" right="0.23622047244094491" top="0.74803149606299213" bottom="0.74803149606299213" header="0.31496062992125984" footer="0.31496062992125984"/>
  <pageSetup scale="47" fitToHeight="0" orientation="portrait" r:id="rId1"/>
  <headerFooter differentFirst="1">
    <oddHeader>&amp;L&amp;G&amp;R&amp;14LOCK T NDS CALCULATOR V 1.20</oddHeader>
    <oddFooter>&amp;C&amp;G&amp;R&amp;14&amp;P</oddFooter>
    <firstHeader>&amp;L&amp;G&amp;R&amp;14LOCK T NDS CALCULATOR V 1.20</firstHeader>
    <firstFooter>&amp;C&amp;G</firstFooter>
  </headerFooter>
  <rowBreaks count="2" manualBreakCount="2">
    <brk id="97" min="8" max="21" man="1"/>
    <brk id="196" min="8" max="21" man="1"/>
  </rowBreaks>
  <colBreaks count="1" manualBreakCount="1">
    <brk id="21" max="270" man="1"/>
  </colBreaks>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D3819-D15F-4D4E-B405-6AAAA5F18C42}">
  <sheetPr codeName="Foglio2"/>
  <dimension ref="A1:A14"/>
  <sheetViews>
    <sheetView topLeftCell="A5" zoomScale="85" zoomScaleNormal="85" workbookViewId="0">
      <selection activeCell="C5" sqref="C5"/>
    </sheetView>
  </sheetViews>
  <sheetFormatPr defaultRowHeight="18" x14ac:dyDescent="0.2"/>
  <cols>
    <col min="1" max="1" width="43.875" style="229" customWidth="1"/>
    <col min="2" max="2" width="95.625" customWidth="1"/>
    <col min="3" max="3" width="54.5" customWidth="1"/>
    <col min="4" max="4" width="10.625" customWidth="1"/>
    <col min="9" max="9" width="10.5" customWidth="1"/>
  </cols>
  <sheetData>
    <row r="1" spans="1:1" ht="300" customHeight="1" x14ac:dyDescent="0.2">
      <c r="A1" s="229" t="s">
        <v>391</v>
      </c>
    </row>
    <row r="2" spans="1:1" ht="300" customHeight="1" x14ac:dyDescent="0.2">
      <c r="A2" s="229" t="s">
        <v>392</v>
      </c>
    </row>
    <row r="3" spans="1:1" ht="300" customHeight="1" x14ac:dyDescent="0.2">
      <c r="A3" s="229" t="s">
        <v>369</v>
      </c>
    </row>
    <row r="4" spans="1:1" ht="300" customHeight="1" x14ac:dyDescent="0.2">
      <c r="A4" s="229" t="s">
        <v>370</v>
      </c>
    </row>
    <row r="5" spans="1:1" ht="300" customHeight="1" x14ac:dyDescent="0.2">
      <c r="A5" s="229" t="s">
        <v>371</v>
      </c>
    </row>
    <row r="6" spans="1:1" ht="324.75" customHeight="1" x14ac:dyDescent="0.2">
      <c r="A6" s="229" t="s">
        <v>389</v>
      </c>
    </row>
    <row r="7" spans="1:1" ht="330" customHeight="1" x14ac:dyDescent="0.2">
      <c r="A7" s="229" t="s">
        <v>390</v>
      </c>
    </row>
    <row r="8" spans="1:1" ht="335.25" customHeight="1" x14ac:dyDescent="0.2">
      <c r="A8" s="229" t="s">
        <v>401</v>
      </c>
    </row>
    <row r="9" spans="1:1" ht="306.75" customHeight="1" x14ac:dyDescent="0.2">
      <c r="A9" s="229" t="s">
        <v>402</v>
      </c>
    </row>
    <row r="10" spans="1:1" ht="89.25" customHeight="1" x14ac:dyDescent="0.2">
      <c r="A10" s="229" t="s">
        <v>164</v>
      </c>
    </row>
    <row r="11" spans="1:1" ht="141.75" customHeight="1" x14ac:dyDescent="0.2">
      <c r="A11" s="229" t="s">
        <v>174</v>
      </c>
    </row>
    <row r="12" spans="1:1" ht="141.75" customHeight="1" x14ac:dyDescent="0.2">
      <c r="A12" s="229" t="s">
        <v>185</v>
      </c>
    </row>
    <row r="13" spans="1:1" ht="309.75" customHeight="1" x14ac:dyDescent="0.2">
      <c r="A13" s="229" t="s">
        <v>452</v>
      </c>
    </row>
    <row r="14" spans="1:1" ht="309.75" customHeight="1" x14ac:dyDescent="0.2">
      <c r="A14" s="229" t="s">
        <v>453</v>
      </c>
    </row>
  </sheetData>
  <sheetProtection selectLockedCells="1" selectUnlockedCell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1DB7F-FB85-427C-80FD-15BC6C31D377}">
  <sheetPr codeName="Foglio3"/>
  <dimension ref="B5:U29"/>
  <sheetViews>
    <sheetView topLeftCell="A91" zoomScale="80" zoomScaleNormal="80" workbookViewId="0">
      <selection activeCell="H41" sqref="H41"/>
    </sheetView>
  </sheetViews>
  <sheetFormatPr defaultRowHeight="12.75" x14ac:dyDescent="0.2"/>
  <cols>
    <col min="2" max="2" width="22.625" customWidth="1"/>
    <col min="3" max="3" width="18.125" customWidth="1"/>
    <col min="4" max="4" width="10.5" bestFit="1" customWidth="1"/>
    <col min="5" max="5" width="21.125" customWidth="1"/>
    <col min="6" max="6" width="27.75" customWidth="1"/>
    <col min="7" max="7" width="10.625" customWidth="1"/>
    <col min="10" max="10" width="26.125" customWidth="1"/>
    <col min="11" max="11" width="12.5" customWidth="1"/>
    <col min="14" max="14" width="11" customWidth="1"/>
    <col min="15" max="15" width="12.375" customWidth="1"/>
    <col min="18" max="18" width="9.875" customWidth="1"/>
    <col min="19" max="19" width="12.25" customWidth="1"/>
  </cols>
  <sheetData>
    <row r="5" spans="2:21" x14ac:dyDescent="0.2">
      <c r="C5" t="s">
        <v>43</v>
      </c>
      <c r="D5" t="s">
        <v>111</v>
      </c>
    </row>
    <row r="7" spans="2:21" x14ac:dyDescent="0.2">
      <c r="C7" s="24" t="s">
        <v>0</v>
      </c>
      <c r="D7" t="s">
        <v>102</v>
      </c>
      <c r="E7" t="s">
        <v>103</v>
      </c>
      <c r="G7" s="24" t="s">
        <v>12</v>
      </c>
      <c r="H7" t="s">
        <v>102</v>
      </c>
      <c r="I7" t="s">
        <v>115</v>
      </c>
      <c r="K7" s="24" t="s">
        <v>13</v>
      </c>
      <c r="L7" t="s">
        <v>102</v>
      </c>
      <c r="M7" t="s">
        <v>116</v>
      </c>
      <c r="O7" s="24" t="s">
        <v>14</v>
      </c>
      <c r="P7" t="s">
        <v>102</v>
      </c>
      <c r="Q7" t="s">
        <v>116</v>
      </c>
      <c r="S7" s="24" t="s">
        <v>15</v>
      </c>
      <c r="T7" t="s">
        <v>102</v>
      </c>
      <c r="U7" t="s">
        <v>116</v>
      </c>
    </row>
    <row r="9" spans="2:21" x14ac:dyDescent="0.2">
      <c r="C9" s="45" t="s">
        <v>138</v>
      </c>
      <c r="D9" s="45">
        <v>30</v>
      </c>
      <c r="E9" s="45" t="s">
        <v>139</v>
      </c>
    </row>
    <row r="10" spans="2:21" x14ac:dyDescent="0.2">
      <c r="C10" t="s">
        <v>140</v>
      </c>
      <c r="D10">
        <v>10</v>
      </c>
    </row>
    <row r="11" spans="2:21" x14ac:dyDescent="0.2">
      <c r="C11" t="s">
        <v>126</v>
      </c>
      <c r="D11">
        <v>1</v>
      </c>
      <c r="G11" t="s">
        <v>126</v>
      </c>
      <c r="H11">
        <v>2</v>
      </c>
      <c r="K11" t="s">
        <v>126</v>
      </c>
      <c r="L11">
        <v>2</v>
      </c>
      <c r="O11" t="s">
        <v>114</v>
      </c>
      <c r="P11">
        <v>2</v>
      </c>
      <c r="S11" t="s">
        <v>114</v>
      </c>
      <c r="T11">
        <v>3</v>
      </c>
    </row>
    <row r="12" spans="2:21" x14ac:dyDescent="0.2">
      <c r="B12" t="s">
        <v>105</v>
      </c>
      <c r="C12" t="s">
        <v>109</v>
      </c>
      <c r="D12">
        <v>2.19</v>
      </c>
      <c r="E12" t="s">
        <v>136</v>
      </c>
      <c r="G12" t="s">
        <v>109</v>
      </c>
      <c r="H12">
        <f>2.19*H11</f>
        <v>4.38</v>
      </c>
      <c r="I12" t="s">
        <v>101</v>
      </c>
      <c r="K12" t="s">
        <v>109</v>
      </c>
      <c r="L12">
        <f>4.39*L11</f>
        <v>8.7799999999999994</v>
      </c>
      <c r="O12" t="s">
        <v>109</v>
      </c>
      <c r="P12">
        <f>7.36*P11</f>
        <v>14.72</v>
      </c>
      <c r="S12" t="s">
        <v>109</v>
      </c>
      <c r="T12">
        <f>7.36*T11</f>
        <v>22.080000000000002</v>
      </c>
    </row>
    <row r="13" spans="2:21" x14ac:dyDescent="0.2">
      <c r="C13" t="s">
        <v>123</v>
      </c>
      <c r="D13" s="28">
        <f>D9/D10</f>
        <v>3</v>
      </c>
      <c r="E13" t="s">
        <v>231</v>
      </c>
      <c r="G13" t="s">
        <v>110</v>
      </c>
      <c r="H13">
        <v>1</v>
      </c>
      <c r="I13" t="s">
        <v>104</v>
      </c>
      <c r="K13" t="s">
        <v>110</v>
      </c>
      <c r="L13">
        <v>1</v>
      </c>
      <c r="M13" t="s">
        <v>104</v>
      </c>
      <c r="O13" t="s">
        <v>110</v>
      </c>
      <c r="P13">
        <v>10.15</v>
      </c>
      <c r="Q13" t="s">
        <v>104</v>
      </c>
      <c r="S13" t="s">
        <v>110</v>
      </c>
      <c r="T13">
        <v>15.22</v>
      </c>
      <c r="U13" t="s">
        <v>104</v>
      </c>
    </row>
    <row r="14" spans="2:21" x14ac:dyDescent="0.2">
      <c r="B14" t="s">
        <v>106</v>
      </c>
      <c r="C14" t="s">
        <v>122</v>
      </c>
      <c r="D14" s="28">
        <f>D13/D12</f>
        <v>1.3698630136986301</v>
      </c>
      <c r="E14" t="s">
        <v>230</v>
      </c>
      <c r="G14" t="s">
        <v>112</v>
      </c>
      <c r="H14" s="28">
        <f>H13/H12</f>
        <v>0.22831050228310504</v>
      </c>
      <c r="K14" t="s">
        <v>112</v>
      </c>
      <c r="L14" s="28">
        <f>L13/L12</f>
        <v>0.11389521640091117</v>
      </c>
      <c r="O14" t="s">
        <v>112</v>
      </c>
      <c r="P14" s="28">
        <f>P13/P12</f>
        <v>0.68953804347826086</v>
      </c>
      <c r="S14" t="s">
        <v>112</v>
      </c>
      <c r="T14" s="28">
        <f>T13/T12</f>
        <v>0.68931159420289856</v>
      </c>
    </row>
    <row r="15" spans="2:21" x14ac:dyDescent="0.2">
      <c r="B15" t="s">
        <v>107</v>
      </c>
    </row>
    <row r="16" spans="2:21" x14ac:dyDescent="0.2">
      <c r="C16" t="s">
        <v>118</v>
      </c>
      <c r="D16" s="28">
        <f>ATAN(D14/D13)</f>
        <v>0.42834629514688238</v>
      </c>
      <c r="E16" t="s">
        <v>128</v>
      </c>
      <c r="G16" t="s">
        <v>118</v>
      </c>
      <c r="H16" s="28">
        <f>ATAN(H14/H13)</f>
        <v>0.22446318329883339</v>
      </c>
      <c r="I16" t="s">
        <v>128</v>
      </c>
      <c r="K16" t="s">
        <v>118</v>
      </c>
      <c r="L16" s="28">
        <f>ATAN(L14/L13)</f>
        <v>0.11340652691866407</v>
      </c>
      <c r="M16" t="s">
        <v>128</v>
      </c>
    </row>
    <row r="17" spans="2:20" x14ac:dyDescent="0.2">
      <c r="C17" t="s">
        <v>113</v>
      </c>
      <c r="D17" s="28">
        <f>DEGREES(D16)</f>
        <v>24.542434881981457</v>
      </c>
      <c r="E17" t="s">
        <v>232</v>
      </c>
      <c r="G17" t="s">
        <v>113</v>
      </c>
      <c r="H17" s="28">
        <f>DEGREES(ATAN(H14/H13))</f>
        <v>12.86079305909454</v>
      </c>
      <c r="I17" t="s">
        <v>127</v>
      </c>
      <c r="K17" t="s">
        <v>113</v>
      </c>
      <c r="L17" s="28">
        <f>DEGREES(ATAN(L14/L13))</f>
        <v>6.497715361676212</v>
      </c>
      <c r="O17" t="s">
        <v>113</v>
      </c>
      <c r="P17" s="28">
        <f>DEGREES(ATAN(P14/P13))</f>
        <v>3.8864049052617613</v>
      </c>
      <c r="S17" t="s">
        <v>113</v>
      </c>
      <c r="T17" s="28">
        <f>DEGREES(ATAN(T14/T13))</f>
        <v>2.593145524219389</v>
      </c>
    </row>
    <row r="18" spans="2:20" x14ac:dyDescent="0.2">
      <c r="B18" t="s">
        <v>108</v>
      </c>
    </row>
    <row r="20" spans="2:20" x14ac:dyDescent="0.2">
      <c r="C20" t="s">
        <v>131</v>
      </c>
      <c r="D20">
        <v>114</v>
      </c>
      <c r="E20" t="s">
        <v>129</v>
      </c>
      <c r="G20" t="s">
        <v>99</v>
      </c>
      <c r="H20">
        <f>184*0.9</f>
        <v>165.6</v>
      </c>
      <c r="I20" t="s">
        <v>119</v>
      </c>
      <c r="K20" t="s">
        <v>99</v>
      </c>
      <c r="L20">
        <f>184*0.9</f>
        <v>165.6</v>
      </c>
      <c r="M20" t="s">
        <v>119</v>
      </c>
    </row>
    <row r="21" spans="2:20" x14ac:dyDescent="0.2">
      <c r="C21" t="s">
        <v>132</v>
      </c>
      <c r="D21" s="43">
        <f>125.01</f>
        <v>125.01</v>
      </c>
      <c r="E21" t="s">
        <v>124</v>
      </c>
      <c r="G21" t="s">
        <v>55</v>
      </c>
      <c r="H21">
        <v>125.01</v>
      </c>
      <c r="I21" t="s">
        <v>121</v>
      </c>
      <c r="K21" t="s">
        <v>55</v>
      </c>
      <c r="L21">
        <v>125.01</v>
      </c>
      <c r="M21" t="s">
        <v>121</v>
      </c>
    </row>
    <row r="22" spans="2:20" x14ac:dyDescent="0.2">
      <c r="B22" t="s">
        <v>55</v>
      </c>
      <c r="C22" t="s">
        <v>133</v>
      </c>
      <c r="D22">
        <v>2.42</v>
      </c>
      <c r="E22" t="s">
        <v>130</v>
      </c>
      <c r="G22" t="s">
        <v>100</v>
      </c>
      <c r="H22">
        <v>1.63</v>
      </c>
      <c r="I22" t="s">
        <v>120</v>
      </c>
      <c r="K22" t="s">
        <v>100</v>
      </c>
      <c r="L22">
        <v>1.63</v>
      </c>
      <c r="M22" t="s">
        <v>120</v>
      </c>
    </row>
    <row r="26" spans="2:20" x14ac:dyDescent="0.2">
      <c r="C26" s="1" t="s">
        <v>125</v>
      </c>
      <c r="D26" s="44">
        <f>(D20*D22*D21)/(D20*D22*(COS(D16))^2+D21*(SIN(D16))^2)</f>
        <v>138.0336188415863</v>
      </c>
      <c r="E26" t="s">
        <v>135</v>
      </c>
      <c r="G26" s="1" t="s">
        <v>117</v>
      </c>
      <c r="H26" s="44">
        <f>(H20*H22*H21)/(H20*H22*COS(H16)+H21*SIN(H16))</f>
        <v>115.96505373074493</v>
      </c>
    </row>
    <row r="28" spans="2:20" x14ac:dyDescent="0.2">
      <c r="C28" t="s">
        <v>134</v>
      </c>
      <c r="D28" s="50">
        <f>D13/COS(D16)</f>
        <v>3.2979576522902008</v>
      </c>
      <c r="E28" t="s">
        <v>104</v>
      </c>
      <c r="F28">
        <f>D29/D26</f>
        <v>0</v>
      </c>
    </row>
    <row r="29" spans="2:20" x14ac:dyDescent="0.2">
      <c r="C29" t="s">
        <v>137</v>
      </c>
      <c r="E29" t="s">
        <v>135</v>
      </c>
    </row>
  </sheetData>
  <sheetProtection selectLockedCells="1" selectUnlockedCells="1"/>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71a907e-b217-416b-8f3e-9f31b26bbae2">
      <Terms xmlns="http://schemas.microsoft.com/office/infopath/2007/PartnerControls"/>
    </lcf76f155ced4ddcb4097134ff3c332f>
    <TaxCatchAll xmlns="4ac9669e-3ecc-4027-9c07-5729b88496e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D5791BAE553E54299A2D7AB66547121" ma:contentTypeVersion="16" ma:contentTypeDescription="Create a new document." ma:contentTypeScope="" ma:versionID="d97370cc2e4de72d0a646453750c17ea">
  <xsd:schema xmlns:xsd="http://www.w3.org/2001/XMLSchema" xmlns:xs="http://www.w3.org/2001/XMLSchema" xmlns:p="http://schemas.microsoft.com/office/2006/metadata/properties" xmlns:ns2="4ac9669e-3ecc-4027-9c07-5729b88496eb" xmlns:ns3="f71a907e-b217-416b-8f3e-9f31b26bbae2" targetNamespace="http://schemas.microsoft.com/office/2006/metadata/properties" ma:root="true" ma:fieldsID="6fa3a286fde44bd167b069caa5f08291" ns2:_="" ns3:_="">
    <xsd:import namespace="4ac9669e-3ecc-4027-9c07-5729b88496eb"/>
    <xsd:import namespace="f71a907e-b217-416b-8f3e-9f31b26bbae2"/>
    <xsd:element name="properties">
      <xsd:complexType>
        <xsd:sequence>
          <xsd:element name="documentManagement">
            <xsd:complexType>
              <xsd:all>
                <xsd:element ref="ns2:SharedWithDetails" minOccurs="0"/>
                <xsd:element ref="ns2:SharedWithUser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c9669e-3ecc-4027-9c07-5729b88496eb" elementFormDefault="qualified">
    <xsd:import namespace="http://schemas.microsoft.com/office/2006/documentManagement/types"/>
    <xsd:import namespace="http://schemas.microsoft.com/office/infopath/2007/PartnerControls"/>
    <xsd:element name="SharedWithDetails" ma:index="8" nillable="true" ma:displayName="Shared With Details" ma:internalName="SharedWithDetails" ma:readOnly="true">
      <xsd:simpleType>
        <xsd:restriction base="dms:Note">
          <xsd:maxLength value="255"/>
        </xsd:restriction>
      </xsd:simpleType>
    </xsd:element>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3" nillable="true" ma:displayName="Taxonomy Catch All Column" ma:hidden="true" ma:list="{e8fe4e58-ca6d-4368-9ea0-f36a7ff00c10}" ma:internalName="TaxCatchAll" ma:showField="CatchAllData" ma:web="4ac9669e-3ecc-4027-9c07-5729b88496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1a907e-b217-416b-8f3e-9f31b26bbae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108ccb5-cea6-4716-bdbd-2f7028708f0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CDC"/>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E1E553-E77A-493B-BCE7-5C7984106212}">
  <ds:schemaRefs>
    <ds:schemaRef ds:uri="http://schemas.microsoft.com/sharepoint/v3/contenttype/forms"/>
  </ds:schemaRefs>
</ds:datastoreItem>
</file>

<file path=customXml/itemProps2.xml><?xml version="1.0" encoding="utf-8"?>
<ds:datastoreItem xmlns:ds="http://schemas.openxmlformats.org/officeDocument/2006/customXml" ds:itemID="{47F16FA2-F5A7-4E3F-A04E-63D254DD5ADF}">
  <ds:schemaRefs>
    <ds:schemaRef ds:uri="http://purl.org/dc/dcmitype/"/>
    <ds:schemaRef ds:uri="http://schemas.microsoft.com/office/2006/documentManagement/types"/>
    <ds:schemaRef ds:uri="http://schemas.microsoft.com/office/2006/metadata/properties"/>
    <ds:schemaRef ds:uri="4ac9669e-3ecc-4027-9c07-5729b88496eb"/>
    <ds:schemaRef ds:uri="http://purl.org/dc/terms/"/>
    <ds:schemaRef ds:uri="http://schemas.microsoft.com/office/infopath/2007/PartnerControls"/>
    <ds:schemaRef ds:uri="http://schemas.openxmlformats.org/package/2006/metadata/core-properties"/>
    <ds:schemaRef ds:uri="f71a907e-b217-416b-8f3e-9f31b26bbae2"/>
    <ds:schemaRef ds:uri="http://www.w3.org/XML/1998/namespace"/>
    <ds:schemaRef ds:uri="http://purl.org/dc/elements/1.1/"/>
  </ds:schemaRefs>
</ds:datastoreItem>
</file>

<file path=customXml/itemProps3.xml><?xml version="1.0" encoding="utf-8"?>
<ds:datastoreItem xmlns:ds="http://schemas.openxmlformats.org/officeDocument/2006/customXml" ds:itemID="{07FD1F47-71E6-4966-9051-ADECF9155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c9669e-3ecc-4027-9c07-5729b88496eb"/>
    <ds:schemaRef ds:uri="f71a907e-b217-416b-8f3e-9f31b26bba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LOCK T calculator</vt:lpstr>
      <vt:lpstr>Foglio2</vt:lpstr>
      <vt:lpstr>Alpha</vt:lpstr>
      <vt:lpstr>'LOCK T calculator'!Area_stampa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Matteo Andreottola</dc:creator>
  <cp:keywords/>
  <dc:description/>
  <cp:lastModifiedBy>Alessio Maffeo</cp:lastModifiedBy>
  <cp:revision/>
  <cp:lastPrinted>2023-03-22T12:31:14Z</cp:lastPrinted>
  <dcterms:created xsi:type="dcterms:W3CDTF">2020-05-27T13:39:38Z</dcterms:created>
  <dcterms:modified xsi:type="dcterms:W3CDTF">2023-06-06T12:51:06Z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0x0101003D5791BAE553E54299A2D7AB66547121</vt:lpwstr>
  </property>
  <property fmtid="{D5CDD505-2E9C-101B-9397-08002B2CF9AE}" pid="3" name="MediaServiceImageTags">
    <vt:lpwstr/>
  </property>
</Properties>
</file>