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ms-excel.sheet.macroEnabled.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2.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3.xml" ContentType="application/vnd.openxmlformats-officedocument.drawing+xml"/>
  <Override PartName="/xl/drawings/drawing4.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xl/vbaProject.bin" ContentType="application/vnd.ms-office.vbaProject"/>
  <Override PartName="/xl/webextensions/taskpanes.xml" ContentType="application/vnd.ms-office.webextensiontaskpanes+xml"/>
  <Override PartName="/xl/webextensions/webextension1.xml" ContentType="application/vnd.ms-office.webextensio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11/relationships/webextensiontaskpanes" Target="xl/webextensions/taskpanes.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codeName="{E757BCB4-07E6-AE0B-56E0-F0EEF7A6E26C}"/>
  <workbookPr codeName="Questa_cartella_di_lavoro"/>
  <mc:AlternateContent xmlns:mc="http://schemas.openxmlformats.org/markup-compatibility/2006">
    <mc:Choice Requires="x15">
      <x15ac:absPath xmlns:x15ac="http://schemas.microsoft.com/office/spreadsheetml/2010/11/ac" url="C:\Users\MarcoG\Desktop\"/>
    </mc:Choice>
  </mc:AlternateContent>
  <xr:revisionPtr revIDLastSave="0" documentId="13_ncr:1_{09D8ED47-9458-4541-9EDA-41CA23CFF3D4}" xr6:coauthVersionLast="47" xr6:coauthVersionMax="47" xr10:uidLastSave="{00000000-0000-0000-0000-000000000000}"/>
  <workbookProtection workbookAlgorithmName="SHA-512" workbookHashValue="YymTpKdeDLKhvP3Y2hSS6DXM5J4Fgkgjh2Lgj3Q7lKInmezFEDzzptCi/8RKNaJwQWB4cfEVdJWG2J9lLOrNEQ==" workbookSaltValue="Y3V+j1xurgUa47DkmWXXJA==" workbookSpinCount="100000" lockStructure="1"/>
  <bookViews>
    <workbookView xWindow="-120" yWindow="-120" windowWidth="29040" windowHeight="15840" xr2:uid="{067032FA-036B-4557-B5E8-6BAC08559C01}"/>
  </bookViews>
  <sheets>
    <sheet name="Calculator" sheetId="8" r:id="rId1"/>
    <sheet name="SupLL" sheetId="11" state="hidden" r:id="rId2"/>
    <sheet name="SupTabella" sheetId="7" state="hidden" r:id="rId3"/>
    <sheet name="SupGen" sheetId="9" state="hidden" r:id="rId4"/>
    <sheet name="Dwh_mig" sheetId="2" state="hidden" r:id="rId5"/>
    <sheet name="Trads" sheetId="3" state="hidden" r:id="rId6"/>
    <sheet name="TradsDB" sheetId="12" state="hidden" r:id="rId7"/>
  </sheets>
  <functionGroups builtInGroupCount="19"/>
  <definedNames>
    <definedName name="_xlnm._FilterDatabase" localSheetId="0" hidden="1">Calculator!$AC$30:$AC$104</definedName>
    <definedName name="_xlnm._FilterDatabase" localSheetId="1" hidden="1">SupLL!$B$42:$L$96</definedName>
    <definedName name="_xlnm._FilterDatabase" localSheetId="5" hidden="1">Trads!$A$1:$A$1501</definedName>
    <definedName name="_xlnm._FilterDatabase" localSheetId="6" hidden="1">TradsDB!$A$1:$X$800</definedName>
    <definedName name="AllSup">SupTabella!$J$18</definedName>
    <definedName name="Angle">SupTabella!$B$7</definedName>
    <definedName name="Angoli">SupTabella!$B$3:$C$6</definedName>
    <definedName name="Angolodw">SupTabella!$C$17:$C$22</definedName>
    <definedName name="Angolodx">SupTabella!$B$17:$B$22</definedName>
    <definedName name="Angolosu">SupTabella!$E$17:$E$22</definedName>
    <definedName name="Angolosx">SupTabella!$D$17:$D$22</definedName>
    <definedName name="_xlnm.Print_Area" localSheetId="0">Calculator!$B$1:$N$146</definedName>
    <definedName name="AssTen">SupGen!$N$14:$N$15</definedName>
    <definedName name="cerchio">Calculator!$Q$106</definedName>
    <definedName name="CoordXY">Calculator!$C$191:$M$253</definedName>
    <definedName name="CostrAng">SupTabella!$B$30:$F$34</definedName>
    <definedName name="Cur_elenco">Dwh_mig!#REF!</definedName>
    <definedName name="Cur_val">Dwh_mig!#REF!</definedName>
    <definedName name="datform" localSheetId="6">TradsDB!$A$2:$B$61</definedName>
    <definedName name="datform">Trads!$A$2:$C$61</definedName>
    <definedName name="DB_Supporti">SupGen!$N$1:$AC$8</definedName>
    <definedName name="DefDB">Calculator!$AI$39:$AI$40</definedName>
    <definedName name="DefProjBase">Calculator!$AH$35</definedName>
    <definedName name="DES_LIST">Dwh_mig!$A$3:$B$26</definedName>
    <definedName name="Direzioni">SupTabella!$B$3:$B$9</definedName>
    <definedName name="down">SupTabella!$B$6</definedName>
    <definedName name="Dx">SupTabella!$B$5</definedName>
    <definedName name="End">SupTabella!$B$9</definedName>
    <definedName name="First_seg">SupTabella!$B$3:$B$7</definedName>
    <definedName name="FxDb">Calculator!$AJ$39:$AJ$40</definedName>
    <definedName name="ImpTow">SupTabella!$G$26:$G$30</definedName>
    <definedName name="Inox">SupTabella!$J$3:$J$4</definedName>
    <definedName name="inoxa2">SupTabella!$J$3</definedName>
    <definedName name="inoxa4">SupTabella!$J$4</definedName>
    <definedName name="IntNPT">SupTabella!$N$11:$N$12</definedName>
    <definedName name="LIN">Calculator!$E$5</definedName>
    <definedName name="LingTarga">SupTabella!$B$26:$B$27</definedName>
    <definedName name="Lingue_int">Dwh_mig!$A$3:$A$26</definedName>
    <definedName name="ListTowPost">Calculator!$C$255:$C$271</definedName>
    <definedName name="Loop">SupTabella!$B$8</definedName>
    <definedName name="MainLang">Dwh_mig!$D$3:$D$7</definedName>
    <definedName name="MaxDef">Calculator!$H$24</definedName>
    <definedName name="MaxSpan">Calculator!$F$24</definedName>
    <definedName name="MetTow">SupTabella!$L$3:$L$4</definedName>
    <definedName name="MinDef">Calculator!$H$26</definedName>
    <definedName name="MinSpan">Calculator!$F$26</definedName>
    <definedName name="NoAcc">SupTabella!$J$17:$J$20</definedName>
    <definedName name="NPT">SupGen!$B$5</definedName>
    <definedName name="PAESI_INT">Dwh_mig!$D$2:$D$44</definedName>
    <definedName name="Partenza">SupTabella!$B$11:$B$12</definedName>
    <definedName name="Pricelist_int">Dwh_mig!#REF!</definedName>
    <definedName name="ProductList" localSheetId="1">INDEX(#REF!,MATCH(SupLL!$E$12,#REF!,0))</definedName>
    <definedName name="ProductList">INDEX(#REF!,MATCH(#REF!,#REF!,0))</definedName>
    <definedName name="ProjSpan">Calculator!$F$104</definedName>
    <definedName name="PT">SupGen!$B$4</definedName>
    <definedName name="PuntiXY">Calculator!$C$190:$I$252</definedName>
    <definedName name="ShareStart">SupTabella!$B$13</definedName>
    <definedName name="slides">SupTabella!$J$26:$J$27</definedName>
    <definedName name="SlidesA4">SupTabella!$J$29:$J$30</definedName>
    <definedName name="SpanDB">Calculator!$AH$39:$AH$40</definedName>
    <definedName name="SpanTow">Calculator!$S$189</definedName>
    <definedName name="Spear">SupGen!$J$4</definedName>
    <definedName name="Spearevo">SupGen!$J$5</definedName>
    <definedName name="SpecNo">SupTabella!$J$19</definedName>
    <definedName name="start">SupTabella!$B$11</definedName>
    <definedName name="StartLast">SupTabella!$B$12</definedName>
    <definedName name="StopStart">SupTabella!$B$10</definedName>
    <definedName name="Substructure">SupGen!$B$9:$B$11</definedName>
    <definedName name="sx">SupTabella!$B$3</definedName>
    <definedName name="Terminals">SupTabella!$J$17</definedName>
    <definedName name="TipSys">SupGen!$B$4:$B$5</definedName>
    <definedName name="TOPLATE">SupTabella!$G$17:$G$22</definedName>
    <definedName name="TotLung">Calculator!$F$102</definedName>
    <definedName name="tower">SupTabella!$F$3:$F$7</definedName>
    <definedName name="towera2">SupTabella!$G$3:$G$5</definedName>
    <definedName name="Traduzioni">TradsDB!$C$2:$V$1500</definedName>
    <definedName name="TypSup">SupGen!$N$4:$N$8</definedName>
    <definedName name="up">SupTabella!$B$4</definedName>
    <definedName name="Zinc">SupTabella!$L$3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5" i="8" l="1"/>
  <c r="AM96" i="8"/>
  <c r="AL128" i="8" l="1"/>
  <c r="AL125" i="8"/>
  <c r="B800" i="12" l="1"/>
  <c r="B799" i="12"/>
  <c r="B798" i="12"/>
  <c r="B797" i="12"/>
  <c r="B796" i="12"/>
  <c r="B795" i="12"/>
  <c r="B794" i="12"/>
  <c r="B793" i="12"/>
  <c r="B792" i="12"/>
  <c r="B791" i="12"/>
  <c r="B790" i="12"/>
  <c r="B789" i="12"/>
  <c r="B788" i="12"/>
  <c r="B787" i="12"/>
  <c r="B786" i="12"/>
  <c r="B785" i="12"/>
  <c r="B784" i="12"/>
  <c r="B783" i="12"/>
  <c r="B782" i="12"/>
  <c r="B781" i="12"/>
  <c r="B780" i="12"/>
  <c r="B779" i="12"/>
  <c r="B778" i="12"/>
  <c r="B777" i="12"/>
  <c r="B776" i="12"/>
  <c r="B775" i="12"/>
  <c r="B774" i="12"/>
  <c r="B773" i="12"/>
  <c r="B772" i="12"/>
  <c r="B771" i="12"/>
  <c r="B770" i="12"/>
  <c r="B769" i="12"/>
  <c r="B768" i="12"/>
  <c r="B767" i="12"/>
  <c r="B766" i="12"/>
  <c r="B765" i="12"/>
  <c r="B764" i="12"/>
  <c r="B763" i="12"/>
  <c r="B762" i="12"/>
  <c r="B761" i="12"/>
  <c r="B760" i="12"/>
  <c r="B759" i="12"/>
  <c r="B758" i="12"/>
  <c r="B757" i="12"/>
  <c r="B756" i="12"/>
  <c r="B755" i="12"/>
  <c r="B754" i="12"/>
  <c r="B753" i="12"/>
  <c r="B752" i="12"/>
  <c r="B751" i="12"/>
  <c r="B750" i="12"/>
  <c r="B749" i="12"/>
  <c r="B748" i="12"/>
  <c r="B747" i="12"/>
  <c r="B746" i="12"/>
  <c r="B745" i="12"/>
  <c r="B744" i="12"/>
  <c r="B743" i="12"/>
  <c r="B742" i="12"/>
  <c r="B741" i="12"/>
  <c r="B740" i="12"/>
  <c r="B739" i="12"/>
  <c r="B738" i="12"/>
  <c r="B737" i="12"/>
  <c r="B736" i="12"/>
  <c r="B735" i="12"/>
  <c r="B734" i="12"/>
  <c r="B733" i="12"/>
  <c r="B732" i="12"/>
  <c r="B731" i="12"/>
  <c r="B730" i="12"/>
  <c r="B729" i="12"/>
  <c r="B728" i="12"/>
  <c r="B727" i="12"/>
  <c r="B726" i="12"/>
  <c r="B725" i="12"/>
  <c r="B724" i="12"/>
  <c r="B723" i="12"/>
  <c r="B722" i="12"/>
  <c r="B721" i="12"/>
  <c r="B720" i="12"/>
  <c r="B719" i="12"/>
  <c r="B718" i="12"/>
  <c r="B717" i="12"/>
  <c r="B716" i="12"/>
  <c r="B715" i="12"/>
  <c r="B714" i="12"/>
  <c r="B713" i="12"/>
  <c r="B712" i="12"/>
  <c r="B711" i="12"/>
  <c r="B710" i="12"/>
  <c r="B709" i="12"/>
  <c r="B708" i="12"/>
  <c r="B707" i="12"/>
  <c r="B706" i="12"/>
  <c r="B705" i="12"/>
  <c r="B704" i="12"/>
  <c r="B703" i="12"/>
  <c r="B702" i="12"/>
  <c r="B701" i="12"/>
  <c r="B700" i="12"/>
  <c r="B699" i="12"/>
  <c r="B698" i="12"/>
  <c r="B697" i="12"/>
  <c r="B696" i="12"/>
  <c r="B695" i="12"/>
  <c r="B694" i="12"/>
  <c r="B693" i="12"/>
  <c r="B692" i="12"/>
  <c r="B691" i="12"/>
  <c r="B690" i="12"/>
  <c r="B689" i="12"/>
  <c r="B688" i="12"/>
  <c r="B687" i="12"/>
  <c r="B686" i="12"/>
  <c r="B685" i="12"/>
  <c r="B684" i="12"/>
  <c r="B683" i="12"/>
  <c r="B682" i="12"/>
  <c r="B681" i="12"/>
  <c r="B680" i="12"/>
  <c r="B679" i="12"/>
  <c r="B678" i="12"/>
  <c r="B677" i="12"/>
  <c r="B676" i="12"/>
  <c r="B675" i="12"/>
  <c r="B674" i="12"/>
  <c r="B673" i="12"/>
  <c r="B672" i="12"/>
  <c r="B671" i="12"/>
  <c r="B670" i="12"/>
  <c r="B669" i="12"/>
  <c r="B668" i="12"/>
  <c r="B667" i="12"/>
  <c r="B666" i="12"/>
  <c r="B665" i="12"/>
  <c r="B664" i="12"/>
  <c r="B663" i="12"/>
  <c r="B662" i="12"/>
  <c r="B661" i="12"/>
  <c r="B660" i="12"/>
  <c r="B659" i="12"/>
  <c r="B658" i="12"/>
  <c r="B657" i="12"/>
  <c r="B656" i="12"/>
  <c r="B655" i="12"/>
  <c r="B654" i="12"/>
  <c r="B653" i="12"/>
  <c r="B652" i="12"/>
  <c r="B651" i="12"/>
  <c r="B650" i="12"/>
  <c r="B649" i="12"/>
  <c r="B648" i="12"/>
  <c r="B647" i="12"/>
  <c r="B646" i="12"/>
  <c r="B645" i="12"/>
  <c r="B644" i="12"/>
  <c r="B643" i="12"/>
  <c r="B642" i="12"/>
  <c r="B641" i="12"/>
  <c r="B640" i="12"/>
  <c r="B639" i="12"/>
  <c r="B638" i="12"/>
  <c r="B637" i="12"/>
  <c r="B636" i="12"/>
  <c r="B635" i="12"/>
  <c r="B634" i="12"/>
  <c r="B633" i="12"/>
  <c r="B632" i="12"/>
  <c r="B631" i="12"/>
  <c r="B630" i="12"/>
  <c r="B629" i="12"/>
  <c r="B628" i="12"/>
  <c r="B627" i="12"/>
  <c r="B626" i="12"/>
  <c r="B625" i="12"/>
  <c r="B624" i="12"/>
  <c r="B623" i="12"/>
  <c r="B622" i="12"/>
  <c r="B621" i="12"/>
  <c r="B620" i="12"/>
  <c r="B619" i="12"/>
  <c r="B618" i="12"/>
  <c r="B617" i="12"/>
  <c r="B616" i="12"/>
  <c r="B615" i="12"/>
  <c r="B614" i="12"/>
  <c r="B613" i="12"/>
  <c r="B612" i="12"/>
  <c r="B611" i="12"/>
  <c r="B610" i="12"/>
  <c r="B609" i="12"/>
  <c r="B608" i="12"/>
  <c r="B607" i="12"/>
  <c r="B606" i="12"/>
  <c r="B605" i="12"/>
  <c r="B604" i="12"/>
  <c r="B603" i="12"/>
  <c r="B602" i="12"/>
  <c r="B601" i="12"/>
  <c r="B600" i="12"/>
  <c r="B599" i="12"/>
  <c r="B598" i="12"/>
  <c r="B597" i="12"/>
  <c r="B596" i="12"/>
  <c r="B595" i="12"/>
  <c r="B594" i="12"/>
  <c r="B593" i="12"/>
  <c r="B592" i="12"/>
  <c r="B591" i="12"/>
  <c r="B590" i="12"/>
  <c r="B589" i="12"/>
  <c r="B588" i="12"/>
  <c r="B587" i="12"/>
  <c r="B586" i="12"/>
  <c r="B585" i="12"/>
  <c r="B584" i="12"/>
  <c r="B583" i="12"/>
  <c r="B582" i="12"/>
  <c r="B581" i="12"/>
  <c r="B580" i="12"/>
  <c r="B579" i="12"/>
  <c r="B578" i="12"/>
  <c r="B577" i="12"/>
  <c r="B576" i="12"/>
  <c r="B575" i="12"/>
  <c r="B574" i="12"/>
  <c r="B573" i="12"/>
  <c r="B572" i="12"/>
  <c r="B571" i="12"/>
  <c r="B570" i="12"/>
  <c r="B569" i="12"/>
  <c r="B568" i="12"/>
  <c r="B567" i="12"/>
  <c r="B566" i="12"/>
  <c r="B565" i="12"/>
  <c r="B564" i="12"/>
  <c r="B563" i="12"/>
  <c r="B562" i="12"/>
  <c r="B561" i="12"/>
  <c r="B560" i="12"/>
  <c r="B559" i="12"/>
  <c r="B558" i="12"/>
  <c r="B557" i="12"/>
  <c r="B556" i="12"/>
  <c r="B555" i="12"/>
  <c r="B554" i="12"/>
  <c r="B553" i="12"/>
  <c r="B552" i="12"/>
  <c r="B551" i="12"/>
  <c r="B550" i="12"/>
  <c r="B549" i="12"/>
  <c r="B548" i="12"/>
  <c r="B547" i="12"/>
  <c r="B546" i="12"/>
  <c r="B545" i="12"/>
  <c r="B544" i="12"/>
  <c r="B543" i="12"/>
  <c r="B542" i="12"/>
  <c r="B541" i="12"/>
  <c r="B540" i="12"/>
  <c r="B539" i="12"/>
  <c r="B538" i="12"/>
  <c r="B537" i="12"/>
  <c r="B536" i="12"/>
  <c r="B535" i="12"/>
  <c r="B534" i="12"/>
  <c r="B533" i="12"/>
  <c r="B532" i="12"/>
  <c r="B531" i="12"/>
  <c r="B530" i="12"/>
  <c r="B529" i="12"/>
  <c r="B528" i="12"/>
  <c r="B527" i="12"/>
  <c r="B526" i="12"/>
  <c r="B525" i="12"/>
  <c r="B524" i="12"/>
  <c r="B523" i="12"/>
  <c r="B522" i="12"/>
  <c r="B521" i="12"/>
  <c r="B520" i="12"/>
  <c r="B519" i="12"/>
  <c r="B518" i="12"/>
  <c r="B517" i="12"/>
  <c r="B516" i="12"/>
  <c r="B515" i="12"/>
  <c r="B514" i="12"/>
  <c r="B513" i="12"/>
  <c r="B512" i="12"/>
  <c r="B511" i="12"/>
  <c r="B510" i="12"/>
  <c r="B509" i="12"/>
  <c r="B508" i="12"/>
  <c r="B507" i="12"/>
  <c r="B506" i="12"/>
  <c r="B505" i="12"/>
  <c r="B504" i="12"/>
  <c r="B503" i="12"/>
  <c r="B502" i="12"/>
  <c r="B501" i="12"/>
  <c r="B500" i="12"/>
  <c r="B499" i="12"/>
  <c r="B498" i="12"/>
  <c r="B497" i="12"/>
  <c r="B496" i="12"/>
  <c r="B495" i="12"/>
  <c r="B494" i="12"/>
  <c r="B493" i="12"/>
  <c r="B492" i="12"/>
  <c r="B491" i="12"/>
  <c r="B490" i="12"/>
  <c r="B489" i="12"/>
  <c r="B488" i="12"/>
  <c r="B487" i="12"/>
  <c r="B486" i="12"/>
  <c r="B485" i="12"/>
  <c r="B484" i="12"/>
  <c r="B483" i="12"/>
  <c r="B482" i="12"/>
  <c r="B481" i="12"/>
  <c r="B480" i="12"/>
  <c r="B479" i="12"/>
  <c r="B478" i="12"/>
  <c r="B477" i="12"/>
  <c r="B476" i="12"/>
  <c r="B475" i="12"/>
  <c r="B474" i="12"/>
  <c r="B473" i="12"/>
  <c r="B472" i="12"/>
  <c r="B471" i="12"/>
  <c r="B470" i="12"/>
  <c r="B469" i="12"/>
  <c r="B468" i="12"/>
  <c r="B467" i="12"/>
  <c r="B466" i="12"/>
  <c r="B465" i="12"/>
  <c r="B464" i="12"/>
  <c r="B463" i="12"/>
  <c r="B462" i="12"/>
  <c r="B461" i="12"/>
  <c r="B460" i="12"/>
  <c r="B459" i="12"/>
  <c r="B458" i="12"/>
  <c r="B457" i="12"/>
  <c r="B456" i="12"/>
  <c r="B455" i="12"/>
  <c r="B454" i="12"/>
  <c r="B453" i="12"/>
  <c r="B452" i="12"/>
  <c r="B451" i="12"/>
  <c r="B450" i="12"/>
  <c r="B449" i="12"/>
  <c r="B448" i="12"/>
  <c r="B447" i="12"/>
  <c r="B446" i="12"/>
  <c r="B445" i="12"/>
  <c r="B444" i="12"/>
  <c r="B443" i="12"/>
  <c r="B442" i="12"/>
  <c r="B441" i="12"/>
  <c r="B440" i="12"/>
  <c r="B439" i="12"/>
  <c r="B438" i="12"/>
  <c r="B437" i="12"/>
  <c r="B436" i="12"/>
  <c r="B435" i="12"/>
  <c r="B434" i="12"/>
  <c r="B433" i="12"/>
  <c r="B432" i="12"/>
  <c r="B431" i="12"/>
  <c r="B430" i="12"/>
  <c r="B429" i="12"/>
  <c r="B428" i="12"/>
  <c r="B427" i="12"/>
  <c r="B426" i="12"/>
  <c r="B425" i="12"/>
  <c r="B424" i="12"/>
  <c r="B423" i="12"/>
  <c r="B422" i="12"/>
  <c r="B421" i="12"/>
  <c r="B420" i="12"/>
  <c r="B419" i="12"/>
  <c r="B418" i="12"/>
  <c r="B417" i="12"/>
  <c r="B416" i="12"/>
  <c r="B415" i="12"/>
  <c r="B414" i="12"/>
  <c r="B413" i="12"/>
  <c r="B412" i="12"/>
  <c r="B411" i="12"/>
  <c r="B410" i="12"/>
  <c r="B409" i="12"/>
  <c r="B408" i="12"/>
  <c r="B407" i="12"/>
  <c r="B406" i="12"/>
  <c r="B405" i="12"/>
  <c r="B404" i="12"/>
  <c r="B403" i="12"/>
  <c r="B402" i="12"/>
  <c r="B401" i="12"/>
  <c r="B400" i="12"/>
  <c r="B399" i="12"/>
  <c r="B398" i="12"/>
  <c r="B397" i="12"/>
  <c r="B396" i="12"/>
  <c r="B395" i="12"/>
  <c r="B394" i="12"/>
  <c r="B393" i="12"/>
  <c r="B392" i="12"/>
  <c r="B391" i="12"/>
  <c r="B390" i="12"/>
  <c r="B389" i="12"/>
  <c r="B388" i="12"/>
  <c r="B387" i="12"/>
  <c r="B386" i="12"/>
  <c r="B385" i="12"/>
  <c r="B384" i="12"/>
  <c r="B383" i="12"/>
  <c r="B382" i="12"/>
  <c r="B381" i="12"/>
  <c r="B380" i="12"/>
  <c r="B379" i="12"/>
  <c r="B378" i="12"/>
  <c r="B377" i="12"/>
  <c r="B376" i="12"/>
  <c r="B375" i="12"/>
  <c r="B374" i="12"/>
  <c r="B373" i="12"/>
  <c r="B372" i="12"/>
  <c r="B371" i="12"/>
  <c r="B370" i="12"/>
  <c r="B369" i="12"/>
  <c r="B368" i="12"/>
  <c r="B367" i="12"/>
  <c r="B366" i="12"/>
  <c r="B365" i="12"/>
  <c r="B364" i="12"/>
  <c r="B363" i="12"/>
  <c r="B362" i="12"/>
  <c r="B361" i="12"/>
  <c r="B360" i="12"/>
  <c r="B359" i="12"/>
  <c r="B358" i="12"/>
  <c r="B357" i="12"/>
  <c r="B356" i="12"/>
  <c r="B355" i="12"/>
  <c r="B354" i="12"/>
  <c r="B353" i="12"/>
  <c r="B352" i="12"/>
  <c r="B351" i="12"/>
  <c r="B350" i="12"/>
  <c r="B349" i="12"/>
  <c r="B348" i="12"/>
  <c r="B347" i="12"/>
  <c r="B346" i="12"/>
  <c r="B345" i="12"/>
  <c r="B344" i="12"/>
  <c r="B343" i="12"/>
  <c r="B342" i="12"/>
  <c r="B341" i="12"/>
  <c r="B340" i="12"/>
  <c r="B339" i="12"/>
  <c r="B338" i="12"/>
  <c r="B337" i="12"/>
  <c r="B336" i="12"/>
  <c r="B335" i="12"/>
  <c r="B334" i="12"/>
  <c r="B333" i="12"/>
  <c r="B332" i="12"/>
  <c r="B331" i="12"/>
  <c r="B330" i="12"/>
  <c r="B329" i="12"/>
  <c r="B328" i="12"/>
  <c r="B327" i="12"/>
  <c r="B326" i="12"/>
  <c r="B325" i="12"/>
  <c r="B324" i="12"/>
  <c r="B323" i="12"/>
  <c r="B322" i="12"/>
  <c r="B321" i="12"/>
  <c r="B320" i="12"/>
  <c r="B319" i="12"/>
  <c r="B318" i="12"/>
  <c r="B317" i="12"/>
  <c r="B316" i="12"/>
  <c r="B315" i="12"/>
  <c r="B314" i="12"/>
  <c r="B313" i="12"/>
  <c r="B312" i="12"/>
  <c r="B311" i="12"/>
  <c r="B310" i="12"/>
  <c r="B309" i="12"/>
  <c r="B308" i="12"/>
  <c r="B307" i="12"/>
  <c r="B306" i="12"/>
  <c r="B305" i="12"/>
  <c r="B304" i="12"/>
  <c r="B303" i="12"/>
  <c r="B302" i="12"/>
  <c r="B301" i="12"/>
  <c r="B300" i="12"/>
  <c r="B299" i="12"/>
  <c r="B298" i="12"/>
  <c r="B297" i="12"/>
  <c r="B296" i="12"/>
  <c r="B295" i="12"/>
  <c r="B294" i="12"/>
  <c r="B293" i="12"/>
  <c r="B292" i="12"/>
  <c r="B291" i="12"/>
  <c r="B290" i="12"/>
  <c r="B289" i="12"/>
  <c r="B288" i="12"/>
  <c r="B287" i="12"/>
  <c r="B286" i="12"/>
  <c r="B285" i="12"/>
  <c r="B284" i="12"/>
  <c r="B283" i="12"/>
  <c r="B282" i="12"/>
  <c r="B281" i="12"/>
  <c r="B280" i="12"/>
  <c r="B279" i="12"/>
  <c r="B278" i="12"/>
  <c r="B277" i="12"/>
  <c r="B276" i="12"/>
  <c r="B275" i="12"/>
  <c r="B274" i="12"/>
  <c r="B273" i="12"/>
  <c r="B272" i="12"/>
  <c r="B271" i="12"/>
  <c r="B270" i="12"/>
  <c r="B269" i="12"/>
  <c r="B268" i="12"/>
  <c r="B267" i="12"/>
  <c r="B266" i="12"/>
  <c r="B265" i="12"/>
  <c r="B264" i="12"/>
  <c r="B263" i="12"/>
  <c r="B262" i="12"/>
  <c r="B261" i="12"/>
  <c r="B260" i="12"/>
  <c r="B259" i="12"/>
  <c r="B258" i="12"/>
  <c r="B257" i="12"/>
  <c r="B256" i="12"/>
  <c r="B255" i="12"/>
  <c r="B254" i="12"/>
  <c r="B253" i="12"/>
  <c r="B252" i="12"/>
  <c r="B251" i="12"/>
  <c r="B250" i="12"/>
  <c r="B249" i="12"/>
  <c r="B248" i="12"/>
  <c r="B247" i="12"/>
  <c r="B246" i="12"/>
  <c r="B245" i="12"/>
  <c r="B244" i="12"/>
  <c r="B243" i="12"/>
  <c r="B242" i="12"/>
  <c r="B241" i="12"/>
  <c r="B240" i="12"/>
  <c r="B239" i="12"/>
  <c r="B238" i="12"/>
  <c r="B237" i="12"/>
  <c r="B236" i="12"/>
  <c r="B235" i="12"/>
  <c r="B234" i="12"/>
  <c r="B233" i="12"/>
  <c r="B232" i="12"/>
  <c r="B231" i="12"/>
  <c r="B230" i="12"/>
  <c r="B229" i="12"/>
  <c r="B228" i="12"/>
  <c r="B227" i="12"/>
  <c r="B226" i="12"/>
  <c r="B225" i="12"/>
  <c r="B224" i="12"/>
  <c r="B223" i="12"/>
  <c r="B222" i="12"/>
  <c r="B221" i="12"/>
  <c r="B220" i="12"/>
  <c r="B219" i="12"/>
  <c r="B218" i="12"/>
  <c r="B217" i="12"/>
  <c r="B216" i="12"/>
  <c r="B215" i="12"/>
  <c r="B214" i="12"/>
  <c r="B213" i="12"/>
  <c r="B212" i="12"/>
  <c r="B211" i="12"/>
  <c r="B210" i="12"/>
  <c r="B209" i="12"/>
  <c r="B208" i="12"/>
  <c r="B207" i="12"/>
  <c r="B206" i="12"/>
  <c r="B205" i="12"/>
  <c r="B204" i="12"/>
  <c r="B203" i="12"/>
  <c r="B202" i="12"/>
  <c r="B201" i="12"/>
  <c r="B200" i="12"/>
  <c r="B199" i="12"/>
  <c r="B198" i="12"/>
  <c r="B197" i="12"/>
  <c r="B196" i="12"/>
  <c r="B195" i="12"/>
  <c r="B194" i="12"/>
  <c r="B193" i="12"/>
  <c r="B192" i="12"/>
  <c r="B191" i="12"/>
  <c r="B190" i="12"/>
  <c r="B189" i="12"/>
  <c r="B188" i="12"/>
  <c r="B187" i="12"/>
  <c r="B186" i="12"/>
  <c r="B185" i="12"/>
  <c r="B184" i="12"/>
  <c r="B183" i="12"/>
  <c r="B182" i="12"/>
  <c r="B181" i="12"/>
  <c r="B180" i="12"/>
  <c r="B179" i="12"/>
  <c r="B178" i="12"/>
  <c r="B177" i="12"/>
  <c r="B176" i="12"/>
  <c r="B175" i="12"/>
  <c r="B174" i="12"/>
  <c r="B173" i="12"/>
  <c r="B172" i="12"/>
  <c r="B171" i="12"/>
  <c r="B170" i="12"/>
  <c r="B169" i="12"/>
  <c r="B168" i="12"/>
  <c r="B167" i="12"/>
  <c r="B166" i="12"/>
  <c r="B165" i="12"/>
  <c r="B164" i="12"/>
  <c r="B163" i="12"/>
  <c r="B162" i="12"/>
  <c r="B161" i="12"/>
  <c r="B160" i="12"/>
  <c r="B159" i="12"/>
  <c r="B158" i="12"/>
  <c r="B157" i="12"/>
  <c r="B156" i="12"/>
  <c r="B155" i="12"/>
  <c r="B154" i="12"/>
  <c r="B153" i="12"/>
  <c r="B152" i="12"/>
  <c r="B151" i="12"/>
  <c r="B150" i="12"/>
  <c r="B149" i="12"/>
  <c r="B148" i="12"/>
  <c r="B147" i="12"/>
  <c r="B146" i="12"/>
  <c r="B145" i="12"/>
  <c r="B144" i="12"/>
  <c r="B143" i="12"/>
  <c r="B142" i="12"/>
  <c r="B141" i="12"/>
  <c r="B140" i="12"/>
  <c r="B139" i="12"/>
  <c r="B138" i="12"/>
  <c r="B137" i="12"/>
  <c r="B136" i="12"/>
  <c r="B135" i="12"/>
  <c r="B134" i="12"/>
  <c r="B133" i="12"/>
  <c r="B132" i="12"/>
  <c r="B131" i="12"/>
  <c r="B130" i="12"/>
  <c r="B129" i="12"/>
  <c r="B128" i="12"/>
  <c r="B127" i="12"/>
  <c r="B126" i="12"/>
  <c r="B125" i="12"/>
  <c r="B124" i="12"/>
  <c r="B123" i="12"/>
  <c r="B122" i="12"/>
  <c r="B121" i="12"/>
  <c r="B120" i="12"/>
  <c r="B119" i="12"/>
  <c r="B118" i="12"/>
  <c r="B117" i="12"/>
  <c r="B116" i="12"/>
  <c r="B115" i="12"/>
  <c r="B114" i="12"/>
  <c r="B113" i="12"/>
  <c r="B112" i="12"/>
  <c r="B111" i="12"/>
  <c r="B110" i="12"/>
  <c r="B109" i="12"/>
  <c r="B108" i="12"/>
  <c r="B107" i="12"/>
  <c r="B106" i="12"/>
  <c r="B105" i="12"/>
  <c r="B104" i="12"/>
  <c r="B103" i="12"/>
  <c r="B102" i="12"/>
  <c r="B101" i="12"/>
  <c r="B100" i="12"/>
  <c r="B99" i="12"/>
  <c r="B98" i="12"/>
  <c r="B97" i="12"/>
  <c r="B96" i="12"/>
  <c r="B95" i="12"/>
  <c r="B94" i="12"/>
  <c r="B93" i="12"/>
  <c r="B92" i="12"/>
  <c r="B91" i="12"/>
  <c r="B90" i="12"/>
  <c r="B89" i="12"/>
  <c r="B88" i="12"/>
  <c r="B87" i="12"/>
  <c r="B86" i="12"/>
  <c r="B85" i="12"/>
  <c r="B84" i="12"/>
  <c r="B83" i="12"/>
  <c r="B82" i="12"/>
  <c r="B81" i="12"/>
  <c r="B80" i="12"/>
  <c r="B79" i="12"/>
  <c r="B78" i="12"/>
  <c r="B77" i="12"/>
  <c r="B76" i="12"/>
  <c r="B75" i="12"/>
  <c r="B74" i="12"/>
  <c r="B73" i="12"/>
  <c r="B72" i="12"/>
  <c r="B71" i="12"/>
  <c r="B70" i="12"/>
  <c r="B69" i="12"/>
  <c r="B68" i="12"/>
  <c r="B67" i="12"/>
  <c r="B66" i="12"/>
  <c r="B65" i="12"/>
  <c r="B64" i="12"/>
  <c r="B63" i="12"/>
  <c r="B62" i="12"/>
  <c r="B61" i="12"/>
  <c r="B60" i="12"/>
  <c r="B59" i="12"/>
  <c r="B58" i="12"/>
  <c r="B57" i="12"/>
  <c r="B56" i="12"/>
  <c r="B55" i="12"/>
  <c r="B54" i="12"/>
  <c r="B53" i="12"/>
  <c r="B52" i="12"/>
  <c r="B51" i="12"/>
  <c r="B50" i="12"/>
  <c r="B49" i="12"/>
  <c r="B48" i="12"/>
  <c r="B47" i="12"/>
  <c r="B46" i="12"/>
  <c r="B45" i="12"/>
  <c r="B44" i="12"/>
  <c r="B43" i="12"/>
  <c r="B42" i="12"/>
  <c r="B41" i="12"/>
  <c r="B40" i="12"/>
  <c r="B39" i="12"/>
  <c r="B38" i="12"/>
  <c r="B37" i="12"/>
  <c r="B36" i="12"/>
  <c r="B35" i="12"/>
  <c r="B34" i="12"/>
  <c r="B33" i="12"/>
  <c r="B32" i="12"/>
  <c r="B31" i="12"/>
  <c r="B30" i="12"/>
  <c r="B29" i="12"/>
  <c r="B28" i="12"/>
  <c r="B27" i="12"/>
  <c r="B26" i="12"/>
  <c r="B25" i="12"/>
  <c r="B24" i="12"/>
  <c r="B23" i="12"/>
  <c r="B22" i="12"/>
  <c r="B21" i="12"/>
  <c r="B20" i="12"/>
  <c r="B19" i="12"/>
  <c r="B18" i="12"/>
  <c r="B17" i="12"/>
  <c r="B16" i="12"/>
  <c r="B15" i="12"/>
  <c r="B14" i="12"/>
  <c r="B13" i="12"/>
  <c r="B12" i="12"/>
  <c r="B11" i="12"/>
  <c r="B10" i="12"/>
  <c r="B9" i="12"/>
  <c r="B8" i="12"/>
  <c r="B7" i="12"/>
  <c r="B6" i="12"/>
  <c r="B5" i="12"/>
  <c r="B4" i="12"/>
  <c r="B3" i="12"/>
  <c r="B2" i="12"/>
  <c r="C627" i="3"/>
  <c r="AB3" i="8"/>
  <c r="AU135" i="8" l="1"/>
  <c r="D58" i="7"/>
  <c r="D57" i="7"/>
  <c r="D56" i="7"/>
  <c r="M53" i="7"/>
  <c r="W253" i="8" l="1"/>
  <c r="AK33" i="8" l="1"/>
  <c r="AI45" i="8"/>
  <c r="AI44" i="8"/>
  <c r="F26" i="8"/>
  <c r="C1501" i="3" l="1"/>
  <c r="C1500" i="3"/>
  <c r="C1499" i="3"/>
  <c r="C1498" i="3"/>
  <c r="C1497" i="3"/>
  <c r="C1496" i="3"/>
  <c r="C1495" i="3"/>
  <c r="C1494" i="3"/>
  <c r="C1493" i="3"/>
  <c r="C1492" i="3"/>
  <c r="C1491" i="3"/>
  <c r="C1490" i="3"/>
  <c r="C1489" i="3"/>
  <c r="C1488" i="3"/>
  <c r="C1487" i="3"/>
  <c r="C1486" i="3"/>
  <c r="C1485" i="3"/>
  <c r="C1484" i="3"/>
  <c r="C1483" i="3"/>
  <c r="C1482" i="3"/>
  <c r="C1481" i="3"/>
  <c r="C1480" i="3"/>
  <c r="C1479" i="3"/>
  <c r="C1478" i="3"/>
  <c r="C1477" i="3"/>
  <c r="C1476" i="3"/>
  <c r="C1475" i="3"/>
  <c r="C1474" i="3"/>
  <c r="C1473" i="3"/>
  <c r="C1472" i="3"/>
  <c r="C1471" i="3"/>
  <c r="C1470" i="3"/>
  <c r="C1469" i="3"/>
  <c r="C1468" i="3"/>
  <c r="C1467" i="3"/>
  <c r="C1466" i="3"/>
  <c r="C1465" i="3"/>
  <c r="C1464" i="3"/>
  <c r="C1463" i="3"/>
  <c r="C1462" i="3"/>
  <c r="C1461" i="3"/>
  <c r="C1460" i="3"/>
  <c r="C1459" i="3"/>
  <c r="C1458" i="3"/>
  <c r="C1457" i="3"/>
  <c r="C1456" i="3"/>
  <c r="C1455" i="3"/>
  <c r="C1454" i="3"/>
  <c r="C1453" i="3"/>
  <c r="C1452" i="3"/>
  <c r="C1451" i="3"/>
  <c r="C1450" i="3"/>
  <c r="C1449" i="3"/>
  <c r="C1448" i="3"/>
  <c r="C1447" i="3"/>
  <c r="C1446" i="3"/>
  <c r="C1445" i="3"/>
  <c r="C1444" i="3"/>
  <c r="C1443" i="3"/>
  <c r="C1442" i="3"/>
  <c r="C1441" i="3"/>
  <c r="C1440" i="3"/>
  <c r="C1439" i="3"/>
  <c r="C1438" i="3"/>
  <c r="C1437" i="3"/>
  <c r="C1436" i="3"/>
  <c r="C1435" i="3"/>
  <c r="C1434" i="3"/>
  <c r="C1433" i="3"/>
  <c r="C1432" i="3"/>
  <c r="C1431" i="3"/>
  <c r="C1430" i="3"/>
  <c r="C1429" i="3"/>
  <c r="C1428" i="3"/>
  <c r="C1427" i="3"/>
  <c r="C1426" i="3"/>
  <c r="C1425" i="3"/>
  <c r="C1424" i="3"/>
  <c r="C1423" i="3"/>
  <c r="C1422" i="3"/>
  <c r="C1421" i="3"/>
  <c r="C1420" i="3"/>
  <c r="C1419" i="3"/>
  <c r="C1418" i="3"/>
  <c r="C1417" i="3"/>
  <c r="C1416" i="3"/>
  <c r="C1415" i="3"/>
  <c r="C1414" i="3"/>
  <c r="C1413" i="3"/>
  <c r="C1412" i="3"/>
  <c r="C1411" i="3"/>
  <c r="C1410" i="3"/>
  <c r="C1409" i="3"/>
  <c r="C1408" i="3"/>
  <c r="C1407" i="3"/>
  <c r="C1406" i="3"/>
  <c r="C1405" i="3"/>
  <c r="C1404" i="3"/>
  <c r="C1403" i="3"/>
  <c r="C1402" i="3"/>
  <c r="C1401" i="3"/>
  <c r="C1400" i="3"/>
  <c r="C1399" i="3"/>
  <c r="C1398" i="3"/>
  <c r="C1397" i="3"/>
  <c r="C1396" i="3"/>
  <c r="C1395" i="3"/>
  <c r="C1394" i="3"/>
  <c r="C1393" i="3"/>
  <c r="C1392" i="3"/>
  <c r="C1391" i="3"/>
  <c r="C1390" i="3"/>
  <c r="C1389" i="3"/>
  <c r="C1388" i="3"/>
  <c r="C1387" i="3"/>
  <c r="C1386" i="3"/>
  <c r="C1385" i="3"/>
  <c r="C1384" i="3"/>
  <c r="C1383" i="3"/>
  <c r="C1382" i="3"/>
  <c r="C1381" i="3"/>
  <c r="C1380" i="3"/>
  <c r="C1379" i="3"/>
  <c r="C1378" i="3"/>
  <c r="C1377" i="3"/>
  <c r="C1376" i="3"/>
  <c r="C1375" i="3"/>
  <c r="C1374" i="3"/>
  <c r="C1373" i="3"/>
  <c r="C1372" i="3"/>
  <c r="C1371" i="3"/>
  <c r="C1370" i="3"/>
  <c r="C1369" i="3"/>
  <c r="C1368" i="3"/>
  <c r="C1367" i="3"/>
  <c r="C1366" i="3"/>
  <c r="C1365" i="3"/>
  <c r="C1364" i="3"/>
  <c r="C1363" i="3"/>
  <c r="C1362" i="3"/>
  <c r="C1361" i="3"/>
  <c r="C1360" i="3"/>
  <c r="C1359" i="3"/>
  <c r="C1358" i="3"/>
  <c r="C1357" i="3"/>
  <c r="C1356" i="3"/>
  <c r="C1355" i="3"/>
  <c r="C1354" i="3"/>
  <c r="C1353" i="3"/>
  <c r="C1352" i="3"/>
  <c r="C1351" i="3"/>
  <c r="C1350" i="3"/>
  <c r="C1349" i="3"/>
  <c r="C1348" i="3"/>
  <c r="C1347" i="3"/>
  <c r="C1346" i="3"/>
  <c r="C1345" i="3"/>
  <c r="C1344" i="3"/>
  <c r="C1343" i="3"/>
  <c r="C1342" i="3"/>
  <c r="C1341" i="3"/>
  <c r="C1340" i="3"/>
  <c r="C1339" i="3"/>
  <c r="C1338" i="3"/>
  <c r="C1337" i="3"/>
  <c r="C1336" i="3"/>
  <c r="C1335" i="3"/>
  <c r="C1334" i="3"/>
  <c r="C1333" i="3"/>
  <c r="C1332" i="3"/>
  <c r="C1331" i="3"/>
  <c r="C1330" i="3"/>
  <c r="C1329" i="3"/>
  <c r="C1328" i="3"/>
  <c r="C1327" i="3"/>
  <c r="C1326" i="3"/>
  <c r="C1325" i="3"/>
  <c r="C1324" i="3"/>
  <c r="C1323" i="3"/>
  <c r="C1322" i="3"/>
  <c r="C1321" i="3"/>
  <c r="C1320" i="3"/>
  <c r="C1319" i="3"/>
  <c r="C1318" i="3"/>
  <c r="C1317" i="3"/>
  <c r="C1316" i="3"/>
  <c r="C1315" i="3"/>
  <c r="C1314" i="3"/>
  <c r="C1313" i="3"/>
  <c r="C1312" i="3"/>
  <c r="C1311" i="3"/>
  <c r="C1310" i="3"/>
  <c r="C1309" i="3"/>
  <c r="C1308" i="3"/>
  <c r="C1307" i="3"/>
  <c r="C1306" i="3"/>
  <c r="C1305" i="3"/>
  <c r="C1304" i="3"/>
  <c r="C1303" i="3"/>
  <c r="C1302" i="3"/>
  <c r="C1301" i="3"/>
  <c r="C1300" i="3"/>
  <c r="C1299" i="3"/>
  <c r="C1298" i="3"/>
  <c r="C1297" i="3"/>
  <c r="C1296" i="3"/>
  <c r="C1295" i="3"/>
  <c r="C1294" i="3"/>
  <c r="C1293" i="3"/>
  <c r="C1292" i="3"/>
  <c r="C1291" i="3"/>
  <c r="C1290" i="3"/>
  <c r="C1289" i="3"/>
  <c r="C1288" i="3"/>
  <c r="C1287" i="3"/>
  <c r="C1286" i="3"/>
  <c r="C1285" i="3"/>
  <c r="C1284" i="3"/>
  <c r="C1283" i="3"/>
  <c r="C1282" i="3"/>
  <c r="C1281" i="3"/>
  <c r="C1280" i="3"/>
  <c r="C1279" i="3"/>
  <c r="C1278" i="3"/>
  <c r="C1277" i="3"/>
  <c r="C1276" i="3"/>
  <c r="C1275" i="3"/>
  <c r="C1274" i="3"/>
  <c r="C1273" i="3"/>
  <c r="C1272" i="3"/>
  <c r="C1271" i="3"/>
  <c r="C1270" i="3"/>
  <c r="C1269" i="3"/>
  <c r="C1268" i="3"/>
  <c r="C1267" i="3"/>
  <c r="C1266" i="3"/>
  <c r="C1265" i="3"/>
  <c r="C1264" i="3"/>
  <c r="C1263" i="3"/>
  <c r="C1262" i="3"/>
  <c r="C1261" i="3"/>
  <c r="C1260" i="3"/>
  <c r="C1259" i="3"/>
  <c r="C1258" i="3"/>
  <c r="C1257" i="3"/>
  <c r="C1256" i="3"/>
  <c r="C1255" i="3"/>
  <c r="C1254" i="3"/>
  <c r="C1253" i="3"/>
  <c r="C1252" i="3"/>
  <c r="C1251" i="3"/>
  <c r="C1250" i="3"/>
  <c r="C1249" i="3"/>
  <c r="C1248" i="3"/>
  <c r="C1247" i="3"/>
  <c r="C1246" i="3"/>
  <c r="C1245" i="3"/>
  <c r="C1244" i="3"/>
  <c r="C1243" i="3"/>
  <c r="C1242" i="3"/>
  <c r="C1241" i="3"/>
  <c r="C1240" i="3"/>
  <c r="C1239" i="3"/>
  <c r="C1238" i="3"/>
  <c r="C1237" i="3"/>
  <c r="C1236" i="3"/>
  <c r="C1235" i="3"/>
  <c r="C1234" i="3"/>
  <c r="C1233" i="3"/>
  <c r="C1232" i="3"/>
  <c r="C1231" i="3"/>
  <c r="C1230" i="3"/>
  <c r="C1229" i="3"/>
  <c r="C1228" i="3"/>
  <c r="C1227" i="3"/>
  <c r="C1226" i="3"/>
  <c r="C1225" i="3"/>
  <c r="C1224" i="3"/>
  <c r="C1223" i="3"/>
  <c r="C1222" i="3"/>
  <c r="C1221" i="3"/>
  <c r="C1220" i="3"/>
  <c r="C1219" i="3"/>
  <c r="C1218" i="3"/>
  <c r="C1217" i="3"/>
  <c r="C1216" i="3"/>
  <c r="C1215" i="3"/>
  <c r="C1214" i="3"/>
  <c r="C1213" i="3"/>
  <c r="C1212" i="3"/>
  <c r="C1211" i="3"/>
  <c r="C1210" i="3"/>
  <c r="C1209" i="3"/>
  <c r="C1208" i="3"/>
  <c r="C1207" i="3"/>
  <c r="C1206" i="3"/>
  <c r="C1205" i="3"/>
  <c r="C1204" i="3"/>
  <c r="C1203" i="3"/>
  <c r="C1202" i="3"/>
  <c r="C1201" i="3"/>
  <c r="C1200" i="3"/>
  <c r="C1199" i="3"/>
  <c r="C1198" i="3"/>
  <c r="C1197" i="3"/>
  <c r="C1196" i="3"/>
  <c r="C1195" i="3"/>
  <c r="C1194" i="3"/>
  <c r="C1193" i="3"/>
  <c r="C1192" i="3"/>
  <c r="C1191" i="3"/>
  <c r="C1190" i="3"/>
  <c r="C1189" i="3"/>
  <c r="C1188" i="3"/>
  <c r="C1187" i="3"/>
  <c r="C1186" i="3"/>
  <c r="C1185" i="3"/>
  <c r="C1184" i="3"/>
  <c r="C1183" i="3"/>
  <c r="C1182" i="3"/>
  <c r="C1181" i="3"/>
  <c r="C1180" i="3"/>
  <c r="C1179" i="3"/>
  <c r="C1178" i="3"/>
  <c r="C1177" i="3"/>
  <c r="C1176" i="3"/>
  <c r="C1175" i="3"/>
  <c r="C1174" i="3"/>
  <c r="C1173" i="3"/>
  <c r="C1172" i="3"/>
  <c r="C1171" i="3"/>
  <c r="C1170" i="3"/>
  <c r="C1169" i="3"/>
  <c r="C1168" i="3"/>
  <c r="C1167" i="3"/>
  <c r="C1166" i="3"/>
  <c r="C1165" i="3"/>
  <c r="C1164" i="3"/>
  <c r="C1163" i="3"/>
  <c r="C1162" i="3"/>
  <c r="C1161" i="3"/>
  <c r="C1160" i="3"/>
  <c r="C1159" i="3"/>
  <c r="C1158" i="3"/>
  <c r="C1157" i="3"/>
  <c r="C1156" i="3"/>
  <c r="C1155" i="3"/>
  <c r="C1154" i="3"/>
  <c r="C1153" i="3"/>
  <c r="C1152" i="3"/>
  <c r="C1151" i="3"/>
  <c r="C1150" i="3"/>
  <c r="C1149" i="3"/>
  <c r="C1148" i="3"/>
  <c r="C1147" i="3"/>
  <c r="C1146" i="3"/>
  <c r="C1145" i="3"/>
  <c r="C1144" i="3"/>
  <c r="C1143" i="3"/>
  <c r="C1142" i="3"/>
  <c r="C1141" i="3"/>
  <c r="C1140" i="3"/>
  <c r="C1139" i="3"/>
  <c r="C1138" i="3"/>
  <c r="C1137" i="3"/>
  <c r="C1136" i="3"/>
  <c r="C1135" i="3"/>
  <c r="C1134" i="3"/>
  <c r="C1133" i="3"/>
  <c r="C1132" i="3"/>
  <c r="C1131" i="3"/>
  <c r="C1130" i="3"/>
  <c r="C1129" i="3"/>
  <c r="C1128" i="3"/>
  <c r="C1127" i="3"/>
  <c r="C1126" i="3"/>
  <c r="C1125" i="3"/>
  <c r="C1124" i="3"/>
  <c r="C1123" i="3"/>
  <c r="C1122" i="3"/>
  <c r="C1121" i="3"/>
  <c r="C1120" i="3"/>
  <c r="C1119" i="3"/>
  <c r="C1118" i="3"/>
  <c r="C1117" i="3"/>
  <c r="C1116" i="3"/>
  <c r="C1115" i="3"/>
  <c r="C1114" i="3"/>
  <c r="C1113" i="3"/>
  <c r="C1112" i="3"/>
  <c r="C1111" i="3"/>
  <c r="C1110" i="3"/>
  <c r="C1109" i="3"/>
  <c r="C1108" i="3"/>
  <c r="C1107" i="3"/>
  <c r="C1106" i="3"/>
  <c r="C1105" i="3"/>
  <c r="C1104" i="3"/>
  <c r="C1103" i="3"/>
  <c r="C1102" i="3"/>
  <c r="C1101" i="3"/>
  <c r="C1100" i="3"/>
  <c r="C1099" i="3"/>
  <c r="C1098" i="3"/>
  <c r="C1097" i="3"/>
  <c r="C1096" i="3"/>
  <c r="C1095" i="3"/>
  <c r="C1094" i="3"/>
  <c r="C1093" i="3"/>
  <c r="C1092" i="3"/>
  <c r="C1091" i="3"/>
  <c r="C1090" i="3"/>
  <c r="C1089" i="3"/>
  <c r="C1088" i="3"/>
  <c r="C1087" i="3"/>
  <c r="C1086" i="3"/>
  <c r="C1085" i="3"/>
  <c r="C1084" i="3"/>
  <c r="C1083" i="3"/>
  <c r="C1082" i="3"/>
  <c r="C1081" i="3"/>
  <c r="C1080" i="3"/>
  <c r="C1079" i="3"/>
  <c r="C1078" i="3"/>
  <c r="C1077" i="3"/>
  <c r="C1076" i="3"/>
  <c r="C1075" i="3"/>
  <c r="C1074" i="3"/>
  <c r="C1073" i="3"/>
  <c r="C1072" i="3"/>
  <c r="C1071" i="3"/>
  <c r="C1070" i="3"/>
  <c r="C1069" i="3"/>
  <c r="C1068" i="3"/>
  <c r="C1067" i="3"/>
  <c r="C1066" i="3"/>
  <c r="C1065" i="3"/>
  <c r="C1064" i="3"/>
  <c r="C1063" i="3"/>
  <c r="C1062" i="3"/>
  <c r="C1061" i="3"/>
  <c r="C1060" i="3"/>
  <c r="C1059" i="3"/>
  <c r="C1058" i="3"/>
  <c r="C1057" i="3"/>
  <c r="C1056" i="3"/>
  <c r="C1055" i="3"/>
  <c r="C1054" i="3"/>
  <c r="C1053" i="3"/>
  <c r="C1052" i="3"/>
  <c r="C1051" i="3"/>
  <c r="C1050" i="3"/>
  <c r="C1049" i="3"/>
  <c r="C1048" i="3"/>
  <c r="C1047" i="3"/>
  <c r="C1046" i="3"/>
  <c r="C1045" i="3"/>
  <c r="C1044" i="3"/>
  <c r="C1043" i="3"/>
  <c r="C1042" i="3"/>
  <c r="C1041" i="3"/>
  <c r="C1040" i="3"/>
  <c r="C1039" i="3"/>
  <c r="C1038" i="3"/>
  <c r="C1037" i="3"/>
  <c r="C1036" i="3"/>
  <c r="C1035" i="3"/>
  <c r="C1034" i="3"/>
  <c r="C1033" i="3"/>
  <c r="C1032" i="3"/>
  <c r="C1031" i="3"/>
  <c r="C1030" i="3"/>
  <c r="C1029" i="3"/>
  <c r="C1028" i="3"/>
  <c r="C1027" i="3"/>
  <c r="C1026" i="3"/>
  <c r="C1025" i="3"/>
  <c r="C1024" i="3"/>
  <c r="C1023" i="3"/>
  <c r="C1022" i="3"/>
  <c r="C1021" i="3"/>
  <c r="C1020" i="3"/>
  <c r="C1019" i="3"/>
  <c r="C1018" i="3"/>
  <c r="C1017" i="3"/>
  <c r="C1016" i="3"/>
  <c r="C1015" i="3"/>
  <c r="C1014" i="3"/>
  <c r="C1013" i="3"/>
  <c r="C1012" i="3"/>
  <c r="C1011" i="3"/>
  <c r="C1010" i="3"/>
  <c r="C1009" i="3"/>
  <c r="C1008" i="3"/>
  <c r="C1007" i="3"/>
  <c r="C1006" i="3"/>
  <c r="C1005" i="3"/>
  <c r="C1004" i="3"/>
  <c r="C1003" i="3"/>
  <c r="C1002" i="3"/>
  <c r="C1001" i="3"/>
  <c r="C1000" i="3"/>
  <c r="C999" i="3"/>
  <c r="C998" i="3"/>
  <c r="C997" i="3"/>
  <c r="C996" i="3"/>
  <c r="C995" i="3"/>
  <c r="C994" i="3"/>
  <c r="C993" i="3"/>
  <c r="C992" i="3"/>
  <c r="C991" i="3"/>
  <c r="C990" i="3"/>
  <c r="C989" i="3"/>
  <c r="C988" i="3"/>
  <c r="C987" i="3"/>
  <c r="C986" i="3"/>
  <c r="C985" i="3"/>
  <c r="C984" i="3"/>
  <c r="C983" i="3"/>
  <c r="C982" i="3"/>
  <c r="C981" i="3"/>
  <c r="C980" i="3"/>
  <c r="C979" i="3"/>
  <c r="C978" i="3"/>
  <c r="C977" i="3"/>
  <c r="C976" i="3"/>
  <c r="C975" i="3"/>
  <c r="C974" i="3"/>
  <c r="C973" i="3"/>
  <c r="C972" i="3"/>
  <c r="C971" i="3"/>
  <c r="C970" i="3"/>
  <c r="C969" i="3"/>
  <c r="C968" i="3"/>
  <c r="C967" i="3"/>
  <c r="C966" i="3"/>
  <c r="C965" i="3"/>
  <c r="C964" i="3"/>
  <c r="C963" i="3"/>
  <c r="C962" i="3"/>
  <c r="C961" i="3"/>
  <c r="C960" i="3"/>
  <c r="C959" i="3"/>
  <c r="C958" i="3"/>
  <c r="C957" i="3"/>
  <c r="C956" i="3"/>
  <c r="C955" i="3"/>
  <c r="C954" i="3"/>
  <c r="C953" i="3"/>
  <c r="C952" i="3"/>
  <c r="C951" i="3"/>
  <c r="C950" i="3"/>
  <c r="C949" i="3"/>
  <c r="C948" i="3"/>
  <c r="C947" i="3"/>
  <c r="C946" i="3"/>
  <c r="C945" i="3"/>
  <c r="C944" i="3"/>
  <c r="C943" i="3"/>
  <c r="C942" i="3"/>
  <c r="C941" i="3"/>
  <c r="C940" i="3"/>
  <c r="C939" i="3"/>
  <c r="C938" i="3"/>
  <c r="C937" i="3"/>
  <c r="C936" i="3"/>
  <c r="C935" i="3"/>
  <c r="C934" i="3"/>
  <c r="C933" i="3"/>
  <c r="C932" i="3"/>
  <c r="C931" i="3"/>
  <c r="C930" i="3"/>
  <c r="C929" i="3"/>
  <c r="C928" i="3"/>
  <c r="C927" i="3"/>
  <c r="C926" i="3"/>
  <c r="C925" i="3"/>
  <c r="C924" i="3"/>
  <c r="C923" i="3"/>
  <c r="C922" i="3"/>
  <c r="C921" i="3"/>
  <c r="C920" i="3"/>
  <c r="C919" i="3"/>
  <c r="C918" i="3"/>
  <c r="C917" i="3"/>
  <c r="C916" i="3"/>
  <c r="C915" i="3"/>
  <c r="C914" i="3"/>
  <c r="C913" i="3"/>
  <c r="C912" i="3"/>
  <c r="C911" i="3"/>
  <c r="C910" i="3"/>
  <c r="C909" i="3"/>
  <c r="C908" i="3"/>
  <c r="C907" i="3"/>
  <c r="C906" i="3"/>
  <c r="C905" i="3"/>
  <c r="C904" i="3"/>
  <c r="C903" i="3"/>
  <c r="C902" i="3"/>
  <c r="C901" i="3"/>
  <c r="C900" i="3"/>
  <c r="C899" i="3"/>
  <c r="C898" i="3"/>
  <c r="C897" i="3"/>
  <c r="C896" i="3"/>
  <c r="C895" i="3"/>
  <c r="C894" i="3"/>
  <c r="C893" i="3"/>
  <c r="C892" i="3"/>
  <c r="C891" i="3"/>
  <c r="C890" i="3"/>
  <c r="C889" i="3"/>
  <c r="C888" i="3"/>
  <c r="C887" i="3"/>
  <c r="C886" i="3"/>
  <c r="C885" i="3"/>
  <c r="C884" i="3"/>
  <c r="C883" i="3"/>
  <c r="C882" i="3"/>
  <c r="C881" i="3"/>
  <c r="C880" i="3"/>
  <c r="C879" i="3"/>
  <c r="C878" i="3"/>
  <c r="C877" i="3"/>
  <c r="C876" i="3"/>
  <c r="C875" i="3"/>
  <c r="C874" i="3"/>
  <c r="C873" i="3"/>
  <c r="C872" i="3"/>
  <c r="C871" i="3"/>
  <c r="C870" i="3"/>
  <c r="C869" i="3"/>
  <c r="C868" i="3"/>
  <c r="C867" i="3"/>
  <c r="C866" i="3"/>
  <c r="C865" i="3"/>
  <c r="C864" i="3"/>
  <c r="C863" i="3"/>
  <c r="C862" i="3"/>
  <c r="C861" i="3"/>
  <c r="C860" i="3"/>
  <c r="C859" i="3"/>
  <c r="C858" i="3"/>
  <c r="C857" i="3"/>
  <c r="C856" i="3"/>
  <c r="C855" i="3"/>
  <c r="C854" i="3"/>
  <c r="C853" i="3"/>
  <c r="C852" i="3"/>
  <c r="C851" i="3"/>
  <c r="C850" i="3"/>
  <c r="C849" i="3"/>
  <c r="C848" i="3"/>
  <c r="C847" i="3"/>
  <c r="C846" i="3"/>
  <c r="C845" i="3"/>
  <c r="C844" i="3"/>
  <c r="C843" i="3"/>
  <c r="C842" i="3"/>
  <c r="C841" i="3"/>
  <c r="C840" i="3"/>
  <c r="C839" i="3"/>
  <c r="C838" i="3"/>
  <c r="C837" i="3"/>
  <c r="C836" i="3"/>
  <c r="C835" i="3"/>
  <c r="C834" i="3"/>
  <c r="C833" i="3"/>
  <c r="C832" i="3"/>
  <c r="C831" i="3"/>
  <c r="C830" i="3"/>
  <c r="C829" i="3"/>
  <c r="C828" i="3"/>
  <c r="C827" i="3"/>
  <c r="C826" i="3"/>
  <c r="C825" i="3"/>
  <c r="C824" i="3"/>
  <c r="C823" i="3"/>
  <c r="C822" i="3"/>
  <c r="C821" i="3"/>
  <c r="C820" i="3"/>
  <c r="C819" i="3"/>
  <c r="C818" i="3"/>
  <c r="C817" i="3"/>
  <c r="C816" i="3"/>
  <c r="C815" i="3"/>
  <c r="C814" i="3"/>
  <c r="C813" i="3"/>
  <c r="C812" i="3"/>
  <c r="C811" i="3"/>
  <c r="C810" i="3"/>
  <c r="C809" i="3"/>
  <c r="C808" i="3"/>
  <c r="C807" i="3"/>
  <c r="C806" i="3"/>
  <c r="C805" i="3"/>
  <c r="C804" i="3"/>
  <c r="C803" i="3"/>
  <c r="C802" i="3"/>
  <c r="C801" i="3"/>
  <c r="C800" i="3"/>
  <c r="C799" i="3"/>
  <c r="C798" i="3"/>
  <c r="C797" i="3"/>
  <c r="C796" i="3"/>
  <c r="C795" i="3"/>
  <c r="C794" i="3"/>
  <c r="C793" i="3"/>
  <c r="C792" i="3"/>
  <c r="C791" i="3"/>
  <c r="C790" i="3"/>
  <c r="C789" i="3"/>
  <c r="C788" i="3"/>
  <c r="C787" i="3"/>
  <c r="C786" i="3"/>
  <c r="C785" i="3"/>
  <c r="C784" i="3"/>
  <c r="C783" i="3"/>
  <c r="C782" i="3"/>
  <c r="C781" i="3"/>
  <c r="C780" i="3"/>
  <c r="C779" i="3"/>
  <c r="C778" i="3"/>
  <c r="C777" i="3"/>
  <c r="C776" i="3"/>
  <c r="C775" i="3"/>
  <c r="C774" i="3"/>
  <c r="C773" i="3"/>
  <c r="C772" i="3"/>
  <c r="C771" i="3"/>
  <c r="C770" i="3"/>
  <c r="C769" i="3"/>
  <c r="C768" i="3"/>
  <c r="C767" i="3"/>
  <c r="C766" i="3"/>
  <c r="C765" i="3"/>
  <c r="C764" i="3"/>
  <c r="C763" i="3"/>
  <c r="C762" i="3"/>
  <c r="C761" i="3"/>
  <c r="C760" i="3"/>
  <c r="C759" i="3"/>
  <c r="C758" i="3"/>
  <c r="C757" i="3"/>
  <c r="C756" i="3"/>
  <c r="C755" i="3"/>
  <c r="C754" i="3"/>
  <c r="C753" i="3"/>
  <c r="C752" i="3"/>
  <c r="C751" i="3"/>
  <c r="C750" i="3"/>
  <c r="C749" i="3"/>
  <c r="C748" i="3"/>
  <c r="C747" i="3"/>
  <c r="C746" i="3"/>
  <c r="C745" i="3"/>
  <c r="C744" i="3"/>
  <c r="C743" i="3"/>
  <c r="C742" i="3"/>
  <c r="C741" i="3"/>
  <c r="C740" i="3"/>
  <c r="C739" i="3"/>
  <c r="C738" i="3"/>
  <c r="C737" i="3"/>
  <c r="C736" i="3"/>
  <c r="C735" i="3"/>
  <c r="C734" i="3"/>
  <c r="C733" i="3"/>
  <c r="C732" i="3"/>
  <c r="C731" i="3"/>
  <c r="C730" i="3"/>
  <c r="C729" i="3"/>
  <c r="C728" i="3"/>
  <c r="C727" i="3"/>
  <c r="C726" i="3"/>
  <c r="C725" i="3"/>
  <c r="C724" i="3"/>
  <c r="C723" i="3"/>
  <c r="C722" i="3"/>
  <c r="C721" i="3"/>
  <c r="C720" i="3"/>
  <c r="C719" i="3"/>
  <c r="C718" i="3"/>
  <c r="C717" i="3"/>
  <c r="C716" i="3"/>
  <c r="C715" i="3"/>
  <c r="C714" i="3"/>
  <c r="C713" i="3"/>
  <c r="C712" i="3"/>
  <c r="C711" i="3"/>
  <c r="C710" i="3"/>
  <c r="C709" i="3"/>
  <c r="C708" i="3"/>
  <c r="C707" i="3"/>
  <c r="C706" i="3"/>
  <c r="C705" i="3"/>
  <c r="C704" i="3"/>
  <c r="C703" i="3"/>
  <c r="C702" i="3"/>
  <c r="C701" i="3"/>
  <c r="C700" i="3"/>
  <c r="C699" i="3"/>
  <c r="C698" i="3"/>
  <c r="C697" i="3"/>
  <c r="C696" i="3"/>
  <c r="C695" i="3"/>
  <c r="C694" i="3"/>
  <c r="C693" i="3"/>
  <c r="C692" i="3"/>
  <c r="C691" i="3"/>
  <c r="C690" i="3"/>
  <c r="C689" i="3"/>
  <c r="C688" i="3"/>
  <c r="C687" i="3"/>
  <c r="C686" i="3"/>
  <c r="C685" i="3"/>
  <c r="C684" i="3"/>
  <c r="C683" i="3"/>
  <c r="C682" i="3"/>
  <c r="C681" i="3"/>
  <c r="C680" i="3"/>
  <c r="C679" i="3"/>
  <c r="C678" i="3"/>
  <c r="C677" i="3"/>
  <c r="C676" i="3"/>
  <c r="C675" i="3"/>
  <c r="C674" i="3"/>
  <c r="C673" i="3"/>
  <c r="C672" i="3"/>
  <c r="C671" i="3"/>
  <c r="C670" i="3"/>
  <c r="C669" i="3"/>
  <c r="C668" i="3"/>
  <c r="C667" i="3"/>
  <c r="C666" i="3"/>
  <c r="C665" i="3"/>
  <c r="C664" i="3"/>
  <c r="C663" i="3"/>
  <c r="C662" i="3"/>
  <c r="C661" i="3"/>
  <c r="C660" i="3"/>
  <c r="C659" i="3"/>
  <c r="C658" i="3"/>
  <c r="C657" i="3"/>
  <c r="C656" i="3"/>
  <c r="C655" i="3"/>
  <c r="C654" i="3"/>
  <c r="C653" i="3"/>
  <c r="C652" i="3"/>
  <c r="C651" i="3"/>
  <c r="C650" i="3"/>
  <c r="C649" i="3"/>
  <c r="C648" i="3"/>
  <c r="C647" i="3"/>
  <c r="C646" i="3"/>
  <c r="C645" i="3"/>
  <c r="C644" i="3"/>
  <c r="C643" i="3"/>
  <c r="C642" i="3"/>
  <c r="C641" i="3"/>
  <c r="C640" i="3"/>
  <c r="C639" i="3"/>
  <c r="C638" i="3"/>
  <c r="C637" i="3"/>
  <c r="C636" i="3"/>
  <c r="C635" i="3"/>
  <c r="C634" i="3"/>
  <c r="C633" i="3"/>
  <c r="C632" i="3"/>
  <c r="C631" i="3"/>
  <c r="C630" i="3"/>
  <c r="C629" i="3"/>
  <c r="C628" i="3"/>
  <c r="C626" i="3"/>
  <c r="C625" i="3"/>
  <c r="C624" i="3"/>
  <c r="C623" i="3"/>
  <c r="C622" i="3"/>
  <c r="C621" i="3"/>
  <c r="C620" i="3"/>
  <c r="C619" i="3"/>
  <c r="C618" i="3"/>
  <c r="C617" i="3"/>
  <c r="C616" i="3"/>
  <c r="C615" i="3"/>
  <c r="C614" i="3"/>
  <c r="C613" i="3"/>
  <c r="C612" i="3"/>
  <c r="C611" i="3"/>
  <c r="C610" i="3"/>
  <c r="C609" i="3"/>
  <c r="C608" i="3"/>
  <c r="C607" i="3"/>
  <c r="C606" i="3"/>
  <c r="C605" i="3"/>
  <c r="C604" i="3"/>
  <c r="C603" i="3"/>
  <c r="C602" i="3"/>
  <c r="C601" i="3"/>
  <c r="C600" i="3"/>
  <c r="C599" i="3"/>
  <c r="C598" i="3"/>
  <c r="C597" i="3"/>
  <c r="C596" i="3"/>
  <c r="C595" i="3"/>
  <c r="C594" i="3"/>
  <c r="C593" i="3"/>
  <c r="C592" i="3"/>
  <c r="C591" i="3"/>
  <c r="C590" i="3"/>
  <c r="C589" i="3"/>
  <c r="C588" i="3"/>
  <c r="C587" i="3"/>
  <c r="C586" i="3"/>
  <c r="C585" i="3"/>
  <c r="C584" i="3"/>
  <c r="C583" i="3"/>
  <c r="C582" i="3"/>
  <c r="C581" i="3"/>
  <c r="C580" i="3"/>
  <c r="C579" i="3"/>
  <c r="C578" i="3"/>
  <c r="C577" i="3"/>
  <c r="C576" i="3"/>
  <c r="C575" i="3"/>
  <c r="C574" i="3"/>
  <c r="C573" i="3"/>
  <c r="C572" i="3"/>
  <c r="C571" i="3"/>
  <c r="C570" i="3"/>
  <c r="C569" i="3"/>
  <c r="C568" i="3"/>
  <c r="C567" i="3"/>
  <c r="C566" i="3"/>
  <c r="C565" i="3"/>
  <c r="C564" i="3"/>
  <c r="C563" i="3"/>
  <c r="C562" i="3"/>
  <c r="C561" i="3"/>
  <c r="C560" i="3"/>
  <c r="C559" i="3"/>
  <c r="C558" i="3"/>
  <c r="C557" i="3"/>
  <c r="C556" i="3"/>
  <c r="C555" i="3"/>
  <c r="C554" i="3"/>
  <c r="C553" i="3"/>
  <c r="C552" i="3"/>
  <c r="C551" i="3"/>
  <c r="C550" i="3"/>
  <c r="C549" i="3"/>
  <c r="C548" i="3"/>
  <c r="C547" i="3"/>
  <c r="C546" i="3"/>
  <c r="C545" i="3"/>
  <c r="C544" i="3"/>
  <c r="C543" i="3"/>
  <c r="C542" i="3"/>
  <c r="C541" i="3"/>
  <c r="C540" i="3"/>
  <c r="C539" i="3"/>
  <c r="C538" i="3"/>
  <c r="C537" i="3"/>
  <c r="C536" i="3"/>
  <c r="C535" i="3"/>
  <c r="C534" i="3"/>
  <c r="C533" i="3"/>
  <c r="C532" i="3"/>
  <c r="C531" i="3"/>
  <c r="C530" i="3"/>
  <c r="C529" i="3"/>
  <c r="C528" i="3"/>
  <c r="C527" i="3"/>
  <c r="C526" i="3"/>
  <c r="C525" i="3"/>
  <c r="C524" i="3"/>
  <c r="C523" i="3"/>
  <c r="C522" i="3"/>
  <c r="C521" i="3"/>
  <c r="C520" i="3"/>
  <c r="C519" i="3"/>
  <c r="C518" i="3"/>
  <c r="C517" i="3"/>
  <c r="C516" i="3"/>
  <c r="C515" i="3"/>
  <c r="C514" i="3"/>
  <c r="C513" i="3"/>
  <c r="C512" i="3"/>
  <c r="C511" i="3"/>
  <c r="C510" i="3"/>
  <c r="C509" i="3"/>
  <c r="C508" i="3"/>
  <c r="C507" i="3"/>
  <c r="C506" i="3"/>
  <c r="C505" i="3"/>
  <c r="C504" i="3"/>
  <c r="C503" i="3"/>
  <c r="C502" i="3"/>
  <c r="C501" i="3"/>
  <c r="C500" i="3"/>
  <c r="C499" i="3"/>
  <c r="C498" i="3"/>
  <c r="C497" i="3"/>
  <c r="C496" i="3"/>
  <c r="C495" i="3"/>
  <c r="C494" i="3"/>
  <c r="C493" i="3"/>
  <c r="C492" i="3"/>
  <c r="C491" i="3"/>
  <c r="C490" i="3"/>
  <c r="C489" i="3"/>
  <c r="C488" i="3"/>
  <c r="C487" i="3"/>
  <c r="C486" i="3"/>
  <c r="C485" i="3"/>
  <c r="C484" i="3"/>
  <c r="C483" i="3"/>
  <c r="C482" i="3"/>
  <c r="C481" i="3"/>
  <c r="C480" i="3"/>
  <c r="C479" i="3"/>
  <c r="C478" i="3"/>
  <c r="C477" i="3"/>
  <c r="C476" i="3"/>
  <c r="C475" i="3"/>
  <c r="C474" i="3"/>
  <c r="C473" i="3"/>
  <c r="C472" i="3"/>
  <c r="C471" i="3"/>
  <c r="C470" i="3"/>
  <c r="C469" i="3"/>
  <c r="C468" i="3"/>
  <c r="C467" i="3"/>
  <c r="C466" i="3"/>
  <c r="C465" i="3"/>
  <c r="C464" i="3"/>
  <c r="C463" i="3"/>
  <c r="C462" i="3"/>
  <c r="C461" i="3"/>
  <c r="C460" i="3"/>
  <c r="C459" i="3"/>
  <c r="C458" i="3"/>
  <c r="C457" i="3"/>
  <c r="C456" i="3"/>
  <c r="C455" i="3"/>
  <c r="C454" i="3"/>
  <c r="C453" i="3"/>
  <c r="C452" i="3"/>
  <c r="C451" i="3"/>
  <c r="C450" i="3"/>
  <c r="C449" i="3"/>
  <c r="C448" i="3"/>
  <c r="C447" i="3"/>
  <c r="C446" i="3"/>
  <c r="C445" i="3"/>
  <c r="C444" i="3"/>
  <c r="C443" i="3"/>
  <c r="C442" i="3"/>
  <c r="C441" i="3"/>
  <c r="C440" i="3"/>
  <c r="C439" i="3"/>
  <c r="C438" i="3"/>
  <c r="C437" i="3"/>
  <c r="C436" i="3"/>
  <c r="C435" i="3"/>
  <c r="C434" i="3"/>
  <c r="C433" i="3"/>
  <c r="C432" i="3"/>
  <c r="C431" i="3"/>
  <c r="C430" i="3"/>
  <c r="C429" i="3"/>
  <c r="C428" i="3"/>
  <c r="C427" i="3"/>
  <c r="C426" i="3"/>
  <c r="C425" i="3"/>
  <c r="C424" i="3"/>
  <c r="C423" i="3"/>
  <c r="C422" i="3"/>
  <c r="C421" i="3"/>
  <c r="C420" i="3"/>
  <c r="C419" i="3"/>
  <c r="C418" i="3"/>
  <c r="C417" i="3"/>
  <c r="C416" i="3"/>
  <c r="C415" i="3"/>
  <c r="C414" i="3"/>
  <c r="C413" i="3"/>
  <c r="C412" i="3"/>
  <c r="C411" i="3"/>
  <c r="C410" i="3"/>
  <c r="C409" i="3"/>
  <c r="C408" i="3"/>
  <c r="C407" i="3"/>
  <c r="C406" i="3"/>
  <c r="C405" i="3"/>
  <c r="C404" i="3"/>
  <c r="C403" i="3"/>
  <c r="C402" i="3"/>
  <c r="C401" i="3"/>
  <c r="C400" i="3"/>
  <c r="C399" i="3"/>
  <c r="C398" i="3"/>
  <c r="C397" i="3"/>
  <c r="C396" i="3"/>
  <c r="C395" i="3"/>
  <c r="C394" i="3"/>
  <c r="C393" i="3"/>
  <c r="C392" i="3"/>
  <c r="C391" i="3"/>
  <c r="C390" i="3"/>
  <c r="C389" i="3"/>
  <c r="C388" i="3"/>
  <c r="C387" i="3"/>
  <c r="C386" i="3"/>
  <c r="C385" i="3"/>
  <c r="C384" i="3"/>
  <c r="C383" i="3"/>
  <c r="C382" i="3"/>
  <c r="C381" i="3"/>
  <c r="C380" i="3"/>
  <c r="C379" i="3"/>
  <c r="C378" i="3"/>
  <c r="C377" i="3"/>
  <c r="C376" i="3"/>
  <c r="C375" i="3"/>
  <c r="C374" i="3"/>
  <c r="C373" i="3"/>
  <c r="C372" i="3"/>
  <c r="C371" i="3"/>
  <c r="C370" i="3"/>
  <c r="C369" i="3"/>
  <c r="C368" i="3"/>
  <c r="C367" i="3"/>
  <c r="C366" i="3"/>
  <c r="C365" i="3"/>
  <c r="C364" i="3"/>
  <c r="C363" i="3"/>
  <c r="C362" i="3"/>
  <c r="C361" i="3"/>
  <c r="C360" i="3"/>
  <c r="C359" i="3"/>
  <c r="C358" i="3"/>
  <c r="C357" i="3"/>
  <c r="C356" i="3"/>
  <c r="C355" i="3"/>
  <c r="C354" i="3"/>
  <c r="C353" i="3"/>
  <c r="C352" i="3"/>
  <c r="C351" i="3"/>
  <c r="C350" i="3"/>
  <c r="C349" i="3"/>
  <c r="C348" i="3"/>
  <c r="C347" i="3"/>
  <c r="C346" i="3"/>
  <c r="C345" i="3"/>
  <c r="C344" i="3"/>
  <c r="C343" i="3"/>
  <c r="C342" i="3"/>
  <c r="C341" i="3"/>
  <c r="C340" i="3"/>
  <c r="C339" i="3"/>
  <c r="C338" i="3"/>
  <c r="C337" i="3"/>
  <c r="C336" i="3"/>
  <c r="C335" i="3"/>
  <c r="C334" i="3"/>
  <c r="C333" i="3"/>
  <c r="C332" i="3"/>
  <c r="C331" i="3"/>
  <c r="C330" i="3"/>
  <c r="C329" i="3"/>
  <c r="C328" i="3"/>
  <c r="C327" i="3"/>
  <c r="C326" i="3"/>
  <c r="C325" i="3"/>
  <c r="C324" i="3"/>
  <c r="C323" i="3"/>
  <c r="C322" i="3"/>
  <c r="C321" i="3"/>
  <c r="C320" i="3"/>
  <c r="C319" i="3"/>
  <c r="C318" i="3"/>
  <c r="C317" i="3"/>
  <c r="C316" i="3"/>
  <c r="C315" i="3"/>
  <c r="C314" i="3"/>
  <c r="C313" i="3"/>
  <c r="C312" i="3"/>
  <c r="C311" i="3"/>
  <c r="C310" i="3"/>
  <c r="C309" i="3"/>
  <c r="C308" i="3"/>
  <c r="C307" i="3"/>
  <c r="C306" i="3"/>
  <c r="C305" i="3"/>
  <c r="C304" i="3"/>
  <c r="C303" i="3"/>
  <c r="C302" i="3"/>
  <c r="C301" i="3"/>
  <c r="C300" i="3"/>
  <c r="C299" i="3"/>
  <c r="C298" i="3"/>
  <c r="C297" i="3"/>
  <c r="C296" i="3"/>
  <c r="C295" i="3"/>
  <c r="C294" i="3"/>
  <c r="C293" i="3"/>
  <c r="C292" i="3"/>
  <c r="C291" i="3"/>
  <c r="C290" i="3"/>
  <c r="C289" i="3"/>
  <c r="C288" i="3"/>
  <c r="C287" i="3"/>
  <c r="C286" i="3"/>
  <c r="C285" i="3"/>
  <c r="C284" i="3"/>
  <c r="C283" i="3"/>
  <c r="C282" i="3"/>
  <c r="C281" i="3"/>
  <c r="C280" i="3"/>
  <c r="C279" i="3"/>
  <c r="C278" i="3"/>
  <c r="C277" i="3"/>
  <c r="C276" i="3"/>
  <c r="C275" i="3"/>
  <c r="C274" i="3"/>
  <c r="C273" i="3"/>
  <c r="C272" i="3"/>
  <c r="C271" i="3"/>
  <c r="C270" i="3"/>
  <c r="C269" i="3"/>
  <c r="C268" i="3"/>
  <c r="C267" i="3"/>
  <c r="C266" i="3"/>
  <c r="C265" i="3"/>
  <c r="C264" i="3"/>
  <c r="C263" i="3"/>
  <c r="C262" i="3"/>
  <c r="C261" i="3"/>
  <c r="C260" i="3"/>
  <c r="C259" i="3"/>
  <c r="C258" i="3"/>
  <c r="C257" i="3"/>
  <c r="C256" i="3"/>
  <c r="C255" i="3"/>
  <c r="C254" i="3"/>
  <c r="C253" i="3"/>
  <c r="C252" i="3"/>
  <c r="C251" i="3"/>
  <c r="C250" i="3"/>
  <c r="C249" i="3"/>
  <c r="C248" i="3"/>
  <c r="C247" i="3"/>
  <c r="C246" i="3"/>
  <c r="C245" i="3"/>
  <c r="C244" i="3"/>
  <c r="C243" i="3"/>
  <c r="C242" i="3"/>
  <c r="C241" i="3"/>
  <c r="C240" i="3"/>
  <c r="C239" i="3"/>
  <c r="C238" i="3"/>
  <c r="C237" i="3"/>
  <c r="C236" i="3"/>
  <c r="C235" i="3"/>
  <c r="C234" i="3"/>
  <c r="C233" i="3"/>
  <c r="C232" i="3"/>
  <c r="C231" i="3"/>
  <c r="C230" i="3"/>
  <c r="C229" i="3"/>
  <c r="C228" i="3"/>
  <c r="C227" i="3"/>
  <c r="C226" i="3"/>
  <c r="C225" i="3"/>
  <c r="C224" i="3"/>
  <c r="C223" i="3"/>
  <c r="C222" i="3"/>
  <c r="C221" i="3"/>
  <c r="C220" i="3"/>
  <c r="C219" i="3"/>
  <c r="C218" i="3"/>
  <c r="C217" i="3"/>
  <c r="C216" i="3"/>
  <c r="C215" i="3"/>
  <c r="C214" i="3"/>
  <c r="C213" i="3"/>
  <c r="C212" i="3"/>
  <c r="C211" i="3"/>
  <c r="C210" i="3"/>
  <c r="C209" i="3"/>
  <c r="C208" i="3"/>
  <c r="C207" i="3"/>
  <c r="C206" i="3"/>
  <c r="C205" i="3"/>
  <c r="C204" i="3"/>
  <c r="C203" i="3"/>
  <c r="C202" i="3"/>
  <c r="C201" i="3"/>
  <c r="C200" i="3"/>
  <c r="C199" i="3"/>
  <c r="C198" i="3"/>
  <c r="C197" i="3"/>
  <c r="C196" i="3"/>
  <c r="C195" i="3"/>
  <c r="C194" i="3"/>
  <c r="C193" i="3"/>
  <c r="C192" i="3"/>
  <c r="C191" i="3"/>
  <c r="C190" i="3"/>
  <c r="C189" i="3"/>
  <c r="C188" i="3"/>
  <c r="C187" i="3"/>
  <c r="C186" i="3"/>
  <c r="C185" i="3"/>
  <c r="C184" i="3"/>
  <c r="C183" i="3"/>
  <c r="C182" i="3"/>
  <c r="C181" i="3"/>
  <c r="C180" i="3"/>
  <c r="C179" i="3"/>
  <c r="C178" i="3"/>
  <c r="C177" i="3"/>
  <c r="C176" i="3"/>
  <c r="C175" i="3"/>
  <c r="C174" i="3"/>
  <c r="C173" i="3"/>
  <c r="C172" i="3"/>
  <c r="C171" i="3"/>
  <c r="C170" i="3"/>
  <c r="C169" i="3"/>
  <c r="C168" i="3"/>
  <c r="C167" i="3"/>
  <c r="C166" i="3"/>
  <c r="C165" i="3"/>
  <c r="C164" i="3"/>
  <c r="C163" i="3"/>
  <c r="C162" i="3"/>
  <c r="C161" i="3"/>
  <c r="C160" i="3"/>
  <c r="C159" i="3"/>
  <c r="C158" i="3"/>
  <c r="C157" i="3"/>
  <c r="C156" i="3"/>
  <c r="C155" i="3"/>
  <c r="C154" i="3"/>
  <c r="C153" i="3"/>
  <c r="C152" i="3"/>
  <c r="C151" i="3"/>
  <c r="C150" i="3"/>
  <c r="C149" i="3"/>
  <c r="C148" i="3"/>
  <c r="C147" i="3"/>
  <c r="C146" i="3"/>
  <c r="C145" i="3"/>
  <c r="C144" i="3"/>
  <c r="C143" i="3"/>
  <c r="C142" i="3"/>
  <c r="C141" i="3"/>
  <c r="C140" i="3"/>
  <c r="C139" i="3"/>
  <c r="C138" i="3"/>
  <c r="C137" i="3"/>
  <c r="C136" i="3"/>
  <c r="C135" i="3"/>
  <c r="C134" i="3"/>
  <c r="C133" i="3"/>
  <c r="C132" i="3"/>
  <c r="C131" i="3"/>
  <c r="C130" i="3"/>
  <c r="C129" i="3"/>
  <c r="C128" i="3"/>
  <c r="C127" i="3"/>
  <c r="C126" i="3"/>
  <c r="C125" i="3"/>
  <c r="C124" i="3"/>
  <c r="C123" i="3"/>
  <c r="C122" i="3"/>
  <c r="C121" i="3"/>
  <c r="C120" i="3"/>
  <c r="C119" i="3"/>
  <c r="C118" i="3"/>
  <c r="C117" i="3"/>
  <c r="C116" i="3"/>
  <c r="C115" i="3"/>
  <c r="C114" i="3"/>
  <c r="C113" i="3"/>
  <c r="C112" i="3"/>
  <c r="C111" i="3"/>
  <c r="C110" i="3"/>
  <c r="C109" i="3"/>
  <c r="C108" i="3"/>
  <c r="C107" i="3"/>
  <c r="C106" i="3"/>
  <c r="C105" i="3"/>
  <c r="C104" i="3"/>
  <c r="C103" i="3"/>
  <c r="C102" i="3"/>
  <c r="C101" i="3"/>
  <c r="C100" i="3"/>
  <c r="C99" i="3"/>
  <c r="C98" i="3"/>
  <c r="C97" i="3"/>
  <c r="C96" i="3"/>
  <c r="C95" i="3"/>
  <c r="C94" i="3"/>
  <c r="C93" i="3"/>
  <c r="C92" i="3"/>
  <c r="C91" i="3"/>
  <c r="C90" i="3"/>
  <c r="C89" i="3"/>
  <c r="C88" i="3"/>
  <c r="C87" i="3"/>
  <c r="C86" i="3"/>
  <c r="C85" i="3"/>
  <c r="C84" i="3"/>
  <c r="C83" i="3"/>
  <c r="C82" i="3"/>
  <c r="C81" i="3"/>
  <c r="C80" i="3"/>
  <c r="C79" i="3"/>
  <c r="C78" i="3"/>
  <c r="C77" i="3"/>
  <c r="C76" i="3"/>
  <c r="C75" i="3"/>
  <c r="C74" i="3"/>
  <c r="C73" i="3"/>
  <c r="C72" i="3"/>
  <c r="C71" i="3"/>
  <c r="C70" i="3"/>
  <c r="C69" i="3"/>
  <c r="C68" i="3"/>
  <c r="C67" i="3"/>
  <c r="C66" i="3"/>
  <c r="C65" i="3"/>
  <c r="C64" i="3"/>
  <c r="C63" i="3"/>
  <c r="C62" i="3"/>
  <c r="C61" i="3"/>
  <c r="C60" i="3"/>
  <c r="C59" i="3"/>
  <c r="C58" i="3"/>
  <c r="C57" i="3"/>
  <c r="C56" i="3"/>
  <c r="C55" i="3"/>
  <c r="C54" i="3"/>
  <c r="C53" i="3"/>
  <c r="C52" i="3"/>
  <c r="C51" i="3"/>
  <c r="C50" i="3"/>
  <c r="C49" i="3"/>
  <c r="C48" i="3"/>
  <c r="C47" i="3"/>
  <c r="C46" i="3"/>
  <c r="C45" i="3"/>
  <c r="C44" i="3"/>
  <c r="C43" i="3"/>
  <c r="C42" i="3"/>
  <c r="C41" i="3"/>
  <c r="C40" i="3"/>
  <c r="C39" i="3"/>
  <c r="C38" i="3"/>
  <c r="C37" i="3"/>
  <c r="C36" i="3"/>
  <c r="C35" i="3"/>
  <c r="C34" i="3"/>
  <c r="C33" i="3"/>
  <c r="C32" i="3"/>
  <c r="C31" i="3"/>
  <c r="C30" i="3"/>
  <c r="C29" i="3"/>
  <c r="C28" i="3"/>
  <c r="C27" i="3"/>
  <c r="C26" i="3"/>
  <c r="C25" i="3"/>
  <c r="C24" i="3"/>
  <c r="C23" i="3"/>
  <c r="C22" i="3"/>
  <c r="C21" i="3"/>
  <c r="C20" i="3"/>
  <c r="C19" i="3"/>
  <c r="C18" i="3"/>
  <c r="C17" i="3"/>
  <c r="C16" i="3"/>
  <c r="C15" i="3"/>
  <c r="C14" i="3"/>
  <c r="C13" i="3"/>
  <c r="C12" i="3"/>
  <c r="C11" i="3"/>
  <c r="C10" i="3"/>
  <c r="C9" i="3"/>
  <c r="C8" i="3"/>
  <c r="C7" i="3"/>
  <c r="C6" i="3"/>
  <c r="C5" i="3"/>
  <c r="C4" i="3"/>
  <c r="C3" i="3"/>
  <c r="B2" i="3" a="1"/>
  <c r="B2" i="3" s="1"/>
  <c r="B2" i="2"/>
  <c r="P41" i="9"/>
  <c r="O41" i="9"/>
  <c r="N41" i="9"/>
  <c r="P40" i="9"/>
  <c r="O40" i="9"/>
  <c r="N40" i="9"/>
  <c r="P39" i="9"/>
  <c r="O39" i="9"/>
  <c r="N39" i="9"/>
  <c r="O11" i="9"/>
  <c r="Z11" i="9" s="1"/>
  <c r="N11" i="9"/>
  <c r="P8" i="9"/>
  <c r="O8" i="9"/>
  <c r="P7" i="9"/>
  <c r="P6" i="9"/>
  <c r="O6" i="9"/>
  <c r="Y5" i="9"/>
  <c r="W5" i="9"/>
  <c r="P5" i="9"/>
  <c r="O5" i="9"/>
  <c r="O4" i="9"/>
  <c r="N1" i="9"/>
  <c r="N1" i="9" a="1"/>
  <c r="C27" i="7"/>
  <c r="C26" i="7"/>
  <c r="E19" i="7"/>
  <c r="D19" i="7"/>
  <c r="C19" i="7"/>
  <c r="B19" i="7"/>
  <c r="E18" i="7"/>
  <c r="D18" i="7"/>
  <c r="C18" i="7"/>
  <c r="B18" i="7"/>
  <c r="E17" i="7"/>
  <c r="D17" i="7"/>
  <c r="C17" i="7"/>
  <c r="B17" i="7"/>
  <c r="L11" i="7"/>
  <c r="L9" i="7"/>
  <c r="O11" i="7" s="1"/>
  <c r="T351" i="11" a="1"/>
  <c r="T351" i="11" s="1"/>
  <c r="B345" i="11"/>
  <c r="BG344" i="11"/>
  <c r="BH344" i="11" s="1"/>
  <c r="BI344" i="11" s="1"/>
  <c r="K344" i="11"/>
  <c r="E344" i="11"/>
  <c r="J344" i="11" s="1"/>
  <c r="D344" i="11"/>
  <c r="C344" i="11"/>
  <c r="I343" i="11"/>
  <c r="E343" i="11"/>
  <c r="J343" i="11" s="1"/>
  <c r="D343" i="11"/>
  <c r="K343" i="11" s="1"/>
  <c r="C343" i="11"/>
  <c r="BG342" i="11" s="1"/>
  <c r="BH342" i="11" s="1"/>
  <c r="BJ342" i="11" s="1"/>
  <c r="B343" i="11"/>
  <c r="E342" i="11"/>
  <c r="D342" i="11"/>
  <c r="K342" i="11" s="1"/>
  <c r="C342" i="11"/>
  <c r="BG341" i="11"/>
  <c r="BH341" i="11" s="1"/>
  <c r="BJ341" i="11" s="1"/>
  <c r="E341" i="11"/>
  <c r="I341" i="11" s="1"/>
  <c r="D341" i="11"/>
  <c r="C341" i="11"/>
  <c r="F341" i="11" s="1"/>
  <c r="L341" i="11" s="1"/>
  <c r="F340" i="11"/>
  <c r="L340" i="11" s="1"/>
  <c r="E340" i="11"/>
  <c r="J340" i="11" s="1"/>
  <c r="D340" i="11"/>
  <c r="C340" i="11"/>
  <c r="BE340" i="11" s="1"/>
  <c r="B340" i="11"/>
  <c r="I339" i="11"/>
  <c r="F339" i="11"/>
  <c r="L339" i="11" s="1"/>
  <c r="E339" i="11"/>
  <c r="J339" i="11" s="1"/>
  <c r="D339" i="11"/>
  <c r="C339" i="11"/>
  <c r="BB339" i="11" s="1"/>
  <c r="I338" i="11"/>
  <c r="E338" i="11"/>
  <c r="J338" i="11" s="1"/>
  <c r="D338" i="11"/>
  <c r="C338" i="11"/>
  <c r="BB338" i="11" s="1"/>
  <c r="BD338" i="11" s="1"/>
  <c r="J337" i="11"/>
  <c r="E337" i="11"/>
  <c r="I337" i="11" s="1"/>
  <c r="D337" i="11"/>
  <c r="K337" i="11" s="1"/>
  <c r="C337" i="11"/>
  <c r="BG336" i="11" s="1"/>
  <c r="BH336" i="11" s="1"/>
  <c r="BI336" i="11" s="1"/>
  <c r="K336" i="11"/>
  <c r="E336" i="11"/>
  <c r="J336" i="11" s="1"/>
  <c r="D336" i="11"/>
  <c r="C336" i="11"/>
  <c r="K335" i="11"/>
  <c r="E335" i="11"/>
  <c r="J335" i="11" s="1"/>
  <c r="D335" i="11"/>
  <c r="C335" i="11"/>
  <c r="BG334" i="11" s="1"/>
  <c r="BH334" i="11" s="1"/>
  <c r="BJ334" i="11" s="1"/>
  <c r="B335" i="11"/>
  <c r="E334" i="11"/>
  <c r="D334" i="11"/>
  <c r="K334" i="11" s="1"/>
  <c r="C334" i="11"/>
  <c r="BE334" i="11" s="1"/>
  <c r="J333" i="11"/>
  <c r="E333" i="11"/>
  <c r="I333" i="11" s="1"/>
  <c r="D333" i="11"/>
  <c r="C333" i="11"/>
  <c r="F333" i="11" s="1"/>
  <c r="L333" i="11" s="1"/>
  <c r="BG332" i="11"/>
  <c r="BH332" i="11" s="1"/>
  <c r="BI332" i="11" s="1"/>
  <c r="K332" i="11"/>
  <c r="F332" i="11"/>
  <c r="L332" i="11" s="1"/>
  <c r="M332" i="11" s="1"/>
  <c r="E332" i="11"/>
  <c r="J332" i="11" s="1"/>
  <c r="D332" i="11"/>
  <c r="C332" i="11"/>
  <c r="BB332" i="11" s="1"/>
  <c r="BE331" i="11"/>
  <c r="J331" i="11"/>
  <c r="I331" i="11"/>
  <c r="F331" i="11"/>
  <c r="L331" i="11" s="1"/>
  <c r="E331" i="11"/>
  <c r="D331" i="11"/>
  <c r="C331" i="11"/>
  <c r="B331" i="11"/>
  <c r="E330" i="11"/>
  <c r="J330" i="11" s="1"/>
  <c r="D330" i="11"/>
  <c r="C330" i="11"/>
  <c r="J329" i="11"/>
  <c r="F329" i="11"/>
  <c r="L329" i="11" s="1"/>
  <c r="E329" i="11"/>
  <c r="I329" i="11" s="1"/>
  <c r="D329" i="11"/>
  <c r="K329" i="11" s="1"/>
  <c r="C329" i="11"/>
  <c r="BG328" i="11" s="1"/>
  <c r="BH328" i="11" s="1"/>
  <c r="BJ328" i="11" s="1"/>
  <c r="I328" i="11"/>
  <c r="F328" i="11"/>
  <c r="N328" i="11" s="1"/>
  <c r="E328" i="11"/>
  <c r="J328" i="11" s="1"/>
  <c r="D328" i="11"/>
  <c r="K328" i="11" s="1"/>
  <c r="C328" i="11"/>
  <c r="BB328" i="11" s="1"/>
  <c r="BD328" i="11" s="1"/>
  <c r="K327" i="11"/>
  <c r="E327" i="11"/>
  <c r="J327" i="11" s="1"/>
  <c r="D327" i="11"/>
  <c r="C327" i="11"/>
  <c r="B327" i="11" s="1"/>
  <c r="K326" i="11"/>
  <c r="E326" i="11"/>
  <c r="D326" i="11"/>
  <c r="C326" i="11"/>
  <c r="BG325" i="11" s="1"/>
  <c r="BH325" i="11" s="1"/>
  <c r="BJ325" i="11" s="1"/>
  <c r="E325" i="11"/>
  <c r="I325" i="11" s="1"/>
  <c r="D325" i="11"/>
  <c r="C325" i="11"/>
  <c r="F325" i="11" s="1"/>
  <c r="L325" i="11" s="1"/>
  <c r="E324" i="11"/>
  <c r="D324" i="11"/>
  <c r="K324" i="11" s="1"/>
  <c r="C324" i="11"/>
  <c r="B324" i="11" s="1"/>
  <c r="I323" i="11"/>
  <c r="E323" i="11"/>
  <c r="J323" i="11" s="1"/>
  <c r="D323" i="11"/>
  <c r="C323" i="11"/>
  <c r="BB323" i="11" s="1"/>
  <c r="BD323" i="11" s="1"/>
  <c r="J322" i="11"/>
  <c r="E322" i="11"/>
  <c r="I322" i="11" s="1"/>
  <c r="D322" i="11"/>
  <c r="C322" i="11"/>
  <c r="BE322" i="11" s="1"/>
  <c r="E321" i="11"/>
  <c r="I321" i="11" s="1"/>
  <c r="D321" i="11"/>
  <c r="K321" i="11" s="1"/>
  <c r="C321" i="11"/>
  <c r="BE321" i="11" s="1"/>
  <c r="BG320" i="11"/>
  <c r="BH320" i="11" s="1"/>
  <c r="BI320" i="11" s="1"/>
  <c r="E320" i="11"/>
  <c r="J320" i="11" s="1"/>
  <c r="D320" i="11"/>
  <c r="K320" i="11" s="1"/>
  <c r="C320" i="11"/>
  <c r="BB320" i="11" s="1"/>
  <c r="BD320" i="11" s="1"/>
  <c r="K319" i="11"/>
  <c r="I319" i="11"/>
  <c r="F319" i="11"/>
  <c r="N319" i="11" s="1"/>
  <c r="E319" i="11"/>
  <c r="J319" i="11" s="1"/>
  <c r="D319" i="11"/>
  <c r="C319" i="11"/>
  <c r="BB319" i="11" s="1"/>
  <c r="BD319" i="11" s="1"/>
  <c r="B319" i="11"/>
  <c r="E318" i="11"/>
  <c r="J318" i="11" s="1"/>
  <c r="D318" i="11"/>
  <c r="K318" i="11" s="1"/>
  <c r="C318" i="11"/>
  <c r="BG317" i="11" s="1"/>
  <c r="BH317" i="11" s="1"/>
  <c r="BJ317" i="11" s="1"/>
  <c r="E317" i="11"/>
  <c r="I317" i="11" s="1"/>
  <c r="D317" i="11"/>
  <c r="K317" i="11" s="1"/>
  <c r="C317" i="11"/>
  <c r="F317" i="11" s="1"/>
  <c r="L317" i="11" s="1"/>
  <c r="B317" i="11"/>
  <c r="K316" i="11"/>
  <c r="E316" i="11"/>
  <c r="D316" i="11"/>
  <c r="C316" i="11"/>
  <c r="BB316" i="11" s="1"/>
  <c r="BD316" i="11" s="1"/>
  <c r="I315" i="11"/>
  <c r="E315" i="11"/>
  <c r="J315" i="11" s="1"/>
  <c r="D315" i="11"/>
  <c r="C315" i="11"/>
  <c r="B315" i="11"/>
  <c r="J314" i="11"/>
  <c r="E314" i="11"/>
  <c r="I314" i="11" s="1"/>
  <c r="D314" i="11"/>
  <c r="K314" i="11" s="1"/>
  <c r="C314" i="11"/>
  <c r="BG313" i="11" s="1"/>
  <c r="BH313" i="11" s="1"/>
  <c r="BJ313" i="11" s="1"/>
  <c r="E313" i="11"/>
  <c r="I313" i="11" s="1"/>
  <c r="D313" i="11"/>
  <c r="K313" i="11" s="1"/>
  <c r="C313" i="11"/>
  <c r="BE313" i="11" s="1"/>
  <c r="BH312" i="11"/>
  <c r="BI312" i="11" s="1"/>
  <c r="BG312" i="11"/>
  <c r="E312" i="11"/>
  <c r="J312" i="11" s="1"/>
  <c r="D312" i="11"/>
  <c r="K312" i="11" s="1"/>
  <c r="C312" i="11"/>
  <c r="B312" i="11" s="1"/>
  <c r="E311" i="11"/>
  <c r="J311" i="11" s="1"/>
  <c r="D311" i="11"/>
  <c r="K311" i="11" s="1"/>
  <c r="C311" i="11"/>
  <c r="B311" i="11" s="1"/>
  <c r="BG310" i="11"/>
  <c r="BH310" i="11" s="1"/>
  <c r="BJ310" i="11" s="1"/>
  <c r="J310" i="11"/>
  <c r="E310" i="11"/>
  <c r="I310" i="11" s="1"/>
  <c r="D310" i="11"/>
  <c r="K310" i="11" s="1"/>
  <c r="C310" i="11"/>
  <c r="BE309" i="11" s="1"/>
  <c r="K309" i="11"/>
  <c r="E309" i="11"/>
  <c r="I309" i="11" s="1"/>
  <c r="D309" i="11"/>
  <c r="C309" i="11"/>
  <c r="F309" i="11" s="1"/>
  <c r="L309" i="11" s="1"/>
  <c r="B309" i="11"/>
  <c r="K308" i="11"/>
  <c r="F308" i="11"/>
  <c r="L308" i="11" s="1"/>
  <c r="E308" i="11"/>
  <c r="I308" i="11" s="1"/>
  <c r="D308" i="11"/>
  <c r="N308" i="11" s="1"/>
  <c r="C308" i="11"/>
  <c r="B308" i="11"/>
  <c r="BG307" i="11"/>
  <c r="BH307" i="11" s="1"/>
  <c r="BJ307" i="11" s="1"/>
  <c r="J307" i="11"/>
  <c r="F307" i="11"/>
  <c r="L307" i="11" s="1"/>
  <c r="E307" i="11"/>
  <c r="I307" i="11" s="1"/>
  <c r="D307" i="11"/>
  <c r="C307" i="11"/>
  <c r="BB307" i="11" s="1"/>
  <c r="BG306" i="11"/>
  <c r="BH306" i="11" s="1"/>
  <c r="BJ306" i="11" s="1"/>
  <c r="E306" i="11"/>
  <c r="I306" i="11" s="1"/>
  <c r="D306" i="11"/>
  <c r="C306" i="11"/>
  <c r="BG305" i="11" s="1"/>
  <c r="BH305" i="11" s="1"/>
  <c r="BJ305" i="11" s="1"/>
  <c r="I305" i="11"/>
  <c r="F305" i="11"/>
  <c r="L305" i="11" s="1"/>
  <c r="E305" i="11"/>
  <c r="J305" i="11" s="1"/>
  <c r="D305" i="11"/>
  <c r="K305" i="11" s="1"/>
  <c r="C305" i="11"/>
  <c r="BE305" i="11" s="1"/>
  <c r="I304" i="11"/>
  <c r="E304" i="11"/>
  <c r="J304" i="11" s="1"/>
  <c r="D304" i="11"/>
  <c r="K304" i="11" s="1"/>
  <c r="C304" i="11"/>
  <c r="I303" i="11"/>
  <c r="E303" i="11"/>
  <c r="J303" i="11" s="1"/>
  <c r="D303" i="11"/>
  <c r="C303" i="11"/>
  <c r="BG302" i="11" s="1"/>
  <c r="BH302" i="11" s="1"/>
  <c r="BJ302" i="11" s="1"/>
  <c r="K302" i="11"/>
  <c r="M302" i="11" s="1"/>
  <c r="F302" i="11"/>
  <c r="L302" i="11" s="1"/>
  <c r="E302" i="11"/>
  <c r="J302" i="11" s="1"/>
  <c r="D302" i="11"/>
  <c r="C302" i="11"/>
  <c r="BB302" i="11" s="1"/>
  <c r="BD302" i="11" s="1"/>
  <c r="B302" i="11"/>
  <c r="BE301" i="11"/>
  <c r="K301" i="11"/>
  <c r="M301" i="11" s="1"/>
  <c r="F301" i="11"/>
  <c r="L301" i="11" s="1"/>
  <c r="E301" i="11"/>
  <c r="J301" i="11" s="1"/>
  <c r="D301" i="11"/>
  <c r="C301" i="11"/>
  <c r="B301" i="11"/>
  <c r="E300" i="11"/>
  <c r="J300" i="11" s="1"/>
  <c r="D300" i="11"/>
  <c r="K300" i="11" s="1"/>
  <c r="C300" i="11"/>
  <c r="B300" i="11"/>
  <c r="J299" i="11"/>
  <c r="E299" i="11"/>
  <c r="I299" i="11" s="1"/>
  <c r="D299" i="11"/>
  <c r="C299" i="11"/>
  <c r="BB299" i="11" s="1"/>
  <c r="E298" i="11"/>
  <c r="I298" i="11" s="1"/>
  <c r="D298" i="11"/>
  <c r="C298" i="11"/>
  <c r="BG297" i="11" s="1"/>
  <c r="BH297" i="11" s="1"/>
  <c r="BJ297" i="11" s="1"/>
  <c r="K297" i="11"/>
  <c r="F297" i="11"/>
  <c r="L297" i="11" s="1"/>
  <c r="D297" i="11"/>
  <c r="C297" i="11"/>
  <c r="E297" i="11" s="1"/>
  <c r="B297" i="11"/>
  <c r="F296" i="11"/>
  <c r="N296" i="11" s="1"/>
  <c r="D296" i="11"/>
  <c r="K296" i="11" s="1"/>
  <c r="C296" i="11"/>
  <c r="D295" i="11"/>
  <c r="C295" i="11"/>
  <c r="BG294" i="11" s="1"/>
  <c r="BH294" i="11" s="1"/>
  <c r="BJ294" i="11" s="1"/>
  <c r="K294" i="11"/>
  <c r="D294" i="11"/>
  <c r="C294" i="11"/>
  <c r="F294" i="11" s="1"/>
  <c r="AB47" i="11" s="1"/>
  <c r="D293" i="11"/>
  <c r="K293" i="11" s="1"/>
  <c r="C293" i="11"/>
  <c r="F293" i="11" s="1"/>
  <c r="D292" i="11"/>
  <c r="K292" i="11" s="1"/>
  <c r="C292" i="11"/>
  <c r="E291" i="11"/>
  <c r="I291" i="11" s="1"/>
  <c r="D291" i="11"/>
  <c r="C291" i="11"/>
  <c r="E290" i="11"/>
  <c r="J290" i="11" s="1"/>
  <c r="H290" i="11" s="1" a="1"/>
  <c r="H290" i="11" s="1"/>
  <c r="D290" i="11"/>
  <c r="K290" i="11" s="1"/>
  <c r="C290" i="11"/>
  <c r="F290" i="11" s="1"/>
  <c r="B290" i="11"/>
  <c r="P290" i="11" s="1"/>
  <c r="R290" i="11" s="1"/>
  <c r="H289" i="11"/>
  <c r="F289" i="11"/>
  <c r="D283" i="11"/>
  <c r="C283" i="11"/>
  <c r="G289" i="11" s="1"/>
  <c r="B282" i="11"/>
  <c r="Z258" i="11"/>
  <c r="Y258" i="11"/>
  <c r="X258" i="11"/>
  <c r="Z257" i="11"/>
  <c r="Y257" i="11"/>
  <c r="X257" i="11"/>
  <c r="Z256" i="11"/>
  <c r="Y256" i="11"/>
  <c r="X256" i="11"/>
  <c r="Z255" i="11"/>
  <c r="Y255" i="11"/>
  <c r="X255" i="11"/>
  <c r="Z254" i="11"/>
  <c r="Y254" i="11"/>
  <c r="X254" i="11"/>
  <c r="Z253" i="11"/>
  <c r="Y253" i="11"/>
  <c r="X253" i="11"/>
  <c r="Z252" i="11"/>
  <c r="Y252" i="11"/>
  <c r="X252" i="11"/>
  <c r="Z251" i="11"/>
  <c r="Y251" i="11"/>
  <c r="X251" i="11"/>
  <c r="Z250" i="11"/>
  <c r="Y250" i="11"/>
  <c r="X250" i="11"/>
  <c r="Z249" i="11"/>
  <c r="Y249" i="11"/>
  <c r="X249" i="11"/>
  <c r="Z248" i="11"/>
  <c r="Y248" i="11"/>
  <c r="X248" i="11"/>
  <c r="Z247" i="11"/>
  <c r="Y247" i="11"/>
  <c r="X247" i="11"/>
  <c r="Z246" i="11"/>
  <c r="Y246" i="11"/>
  <c r="X246" i="11"/>
  <c r="Z245" i="11"/>
  <c r="Y245" i="11"/>
  <c r="X245" i="11"/>
  <c r="Z244" i="11"/>
  <c r="Y244" i="11"/>
  <c r="X244" i="11"/>
  <c r="Z243" i="11"/>
  <c r="Y243" i="11"/>
  <c r="X243" i="11"/>
  <c r="Z242" i="11"/>
  <c r="Y242" i="11"/>
  <c r="X242" i="11"/>
  <c r="Z241" i="11"/>
  <c r="Y241" i="11"/>
  <c r="X241" i="11"/>
  <c r="Z240" i="11"/>
  <c r="Y240" i="11"/>
  <c r="X240" i="11"/>
  <c r="Z239" i="11"/>
  <c r="Y239" i="11"/>
  <c r="X239" i="11"/>
  <c r="Z238" i="11"/>
  <c r="Y238" i="11"/>
  <c r="X238" i="11"/>
  <c r="Z237" i="11"/>
  <c r="Y237" i="11"/>
  <c r="X237" i="11"/>
  <c r="Z236" i="11"/>
  <c r="Y236" i="11"/>
  <c r="X236" i="11"/>
  <c r="Z235" i="11"/>
  <c r="Y235" i="11"/>
  <c r="X235" i="11"/>
  <c r="Z234" i="11"/>
  <c r="Y234" i="11"/>
  <c r="X234" i="11"/>
  <c r="Z233" i="11"/>
  <c r="Y233" i="11"/>
  <c r="X233" i="11"/>
  <c r="Z232" i="11"/>
  <c r="Y232" i="11"/>
  <c r="X232" i="11"/>
  <c r="Z231" i="11"/>
  <c r="Y231" i="11"/>
  <c r="X231" i="11"/>
  <c r="Z230" i="11"/>
  <c r="Y230" i="11"/>
  <c r="X230" i="11"/>
  <c r="Z229" i="11"/>
  <c r="Y229" i="11"/>
  <c r="X229" i="11"/>
  <c r="Z228" i="11"/>
  <c r="Y228" i="11"/>
  <c r="X228" i="11"/>
  <c r="Z227" i="11"/>
  <c r="Y227" i="11"/>
  <c r="X227" i="11"/>
  <c r="Z226" i="11"/>
  <c r="Y226" i="11"/>
  <c r="X226" i="11"/>
  <c r="Z225" i="11"/>
  <c r="Y225" i="11"/>
  <c r="X225" i="11"/>
  <c r="Z224" i="11"/>
  <c r="Y224" i="11"/>
  <c r="X224" i="11"/>
  <c r="Z223" i="11"/>
  <c r="Y223" i="11"/>
  <c r="X223" i="11"/>
  <c r="Z222" i="11"/>
  <c r="Y222" i="11"/>
  <c r="X222" i="11"/>
  <c r="Z221" i="11"/>
  <c r="Y221" i="11"/>
  <c r="X220" i="11" s="1"/>
  <c r="X221" i="11"/>
  <c r="Z220" i="11"/>
  <c r="Y220" i="11"/>
  <c r="X219" i="11" s="1"/>
  <c r="Z219" i="11"/>
  <c r="Y219" i="11"/>
  <c r="X218" i="11" s="1"/>
  <c r="Z218" i="11"/>
  <c r="Y218" i="11"/>
  <c r="Z217" i="11"/>
  <c r="X216" i="11" s="1"/>
  <c r="Y217" i="11"/>
  <c r="Z216" i="11"/>
  <c r="Y216" i="11"/>
  <c r="X215" i="11" s="1"/>
  <c r="Z215" i="11"/>
  <c r="Y215" i="11"/>
  <c r="Z214" i="11"/>
  <c r="Y214" i="11"/>
  <c r="Z213" i="11"/>
  <c r="Y213" i="11"/>
  <c r="X212" i="11" s="1"/>
  <c r="Z212" i="11"/>
  <c r="Y212" i="11"/>
  <c r="X211" i="11" s="1"/>
  <c r="Z211" i="11"/>
  <c r="Y211" i="11"/>
  <c r="X210" i="11" s="1"/>
  <c r="Z210" i="11"/>
  <c r="Y210" i="11"/>
  <c r="Z209" i="11"/>
  <c r="X208" i="11" s="1"/>
  <c r="Y209" i="11"/>
  <c r="Z208" i="11"/>
  <c r="Y208" i="11"/>
  <c r="X207" i="11" s="1"/>
  <c r="Z207" i="11"/>
  <c r="Y207" i="11"/>
  <c r="X206" i="11" s="1"/>
  <c r="Z206" i="11"/>
  <c r="Y206" i="11"/>
  <c r="X205" i="11" s="1"/>
  <c r="Z205" i="11"/>
  <c r="Y205" i="11"/>
  <c r="X204" i="11" s="1"/>
  <c r="Z204" i="11"/>
  <c r="Y204" i="11"/>
  <c r="X203" i="11" s="1"/>
  <c r="Z203" i="11"/>
  <c r="Y203" i="11"/>
  <c r="Z202" i="11"/>
  <c r="Y202" i="11"/>
  <c r="X202" i="11"/>
  <c r="Z201" i="11"/>
  <c r="Y201" i="11"/>
  <c r="X200" i="11" s="1"/>
  <c r="Z200" i="11"/>
  <c r="Y200" i="11"/>
  <c r="Z199" i="11"/>
  <c r="Y199" i="11"/>
  <c r="X199" i="11"/>
  <c r="Z198" i="11"/>
  <c r="Y198" i="11"/>
  <c r="AS118" i="11"/>
  <c r="AT115" i="11"/>
  <c r="AT118" i="11" s="1"/>
  <c r="AS115" i="11"/>
  <c r="AR115" i="11"/>
  <c r="AR118" i="11" s="1"/>
  <c r="AQ115" i="11"/>
  <c r="AQ118" i="11" s="1"/>
  <c r="AT113" i="11"/>
  <c r="AJ113" i="11"/>
  <c r="AI113" i="11"/>
  <c r="AH113" i="11"/>
  <c r="AT112" i="11"/>
  <c r="AS112" i="11"/>
  <c r="AS113" i="11" s="1"/>
  <c r="AR112" i="11"/>
  <c r="AR113" i="11" s="1"/>
  <c r="AQ112" i="11"/>
  <c r="AQ113" i="11" s="1"/>
  <c r="AJ112" i="11"/>
  <c r="AI112" i="11"/>
  <c r="AH112" i="11"/>
  <c r="AJ111" i="11"/>
  <c r="AI111" i="11"/>
  <c r="AH111" i="11"/>
  <c r="D24" i="11" s="1"/>
  <c r="P102" i="11"/>
  <c r="E99" i="11"/>
  <c r="AG96" i="11"/>
  <c r="AJ96" i="11" s="1"/>
  <c r="O96" i="11"/>
  <c r="P96" i="11" s="1"/>
  <c r="O95" i="11"/>
  <c r="P95" i="11" s="1"/>
  <c r="O94" i="11"/>
  <c r="P94" i="11" s="1"/>
  <c r="O93" i="11"/>
  <c r="P93" i="11" s="1"/>
  <c r="P92" i="11"/>
  <c r="O92" i="11"/>
  <c r="P91" i="11"/>
  <c r="O91" i="11"/>
  <c r="O90" i="11"/>
  <c r="P90" i="11" s="1"/>
  <c r="P89" i="11"/>
  <c r="O89" i="11"/>
  <c r="O88" i="11"/>
  <c r="P88" i="11" s="1"/>
  <c r="P87" i="11"/>
  <c r="O87" i="11"/>
  <c r="O86" i="11"/>
  <c r="P86" i="11" s="1"/>
  <c r="P85" i="11"/>
  <c r="O85" i="11"/>
  <c r="P84" i="11"/>
  <c r="O84" i="11"/>
  <c r="O83" i="11"/>
  <c r="P83" i="11" s="1"/>
  <c r="P82" i="11"/>
  <c r="O82" i="11"/>
  <c r="P81" i="11"/>
  <c r="O81" i="11"/>
  <c r="O80" i="11"/>
  <c r="P80" i="11" s="1"/>
  <c r="P79" i="11"/>
  <c r="O79" i="11"/>
  <c r="O78" i="11"/>
  <c r="P78" i="11" s="1"/>
  <c r="P77" i="11"/>
  <c r="O77" i="11"/>
  <c r="P76" i="11"/>
  <c r="O76" i="11"/>
  <c r="O75" i="11"/>
  <c r="P75" i="11" s="1"/>
  <c r="P74" i="11"/>
  <c r="O74" i="11"/>
  <c r="O73" i="11"/>
  <c r="P73" i="11" s="1"/>
  <c r="O72" i="11"/>
  <c r="P72" i="11" s="1"/>
  <c r="P71" i="11"/>
  <c r="O71" i="11"/>
  <c r="O70" i="11"/>
  <c r="P70" i="11" s="1"/>
  <c r="O69" i="11"/>
  <c r="P69" i="11" s="1"/>
  <c r="P68" i="11"/>
  <c r="O68" i="11"/>
  <c r="O67" i="11"/>
  <c r="P67" i="11" s="1"/>
  <c r="O66" i="11"/>
  <c r="P66" i="11" s="1"/>
  <c r="P65" i="11"/>
  <c r="O65" i="11"/>
  <c r="O64" i="11"/>
  <c r="P64" i="11" s="1"/>
  <c r="P63" i="11"/>
  <c r="O63" i="11"/>
  <c r="AH62" i="11"/>
  <c r="AH63" i="11" s="1"/>
  <c r="AH64" i="11" s="1"/>
  <c r="AH65" i="11" s="1"/>
  <c r="AH66" i="11" s="1"/>
  <c r="AH67" i="11" s="1"/>
  <c r="AH68" i="11" s="1"/>
  <c r="AH69" i="11" s="1"/>
  <c r="AH70" i="11" s="1"/>
  <c r="AH71" i="11" s="1"/>
  <c r="AH72" i="11" s="1"/>
  <c r="AH73" i="11" s="1"/>
  <c r="AH74" i="11" s="1"/>
  <c r="AH75" i="11" s="1"/>
  <c r="AH76" i="11" s="1"/>
  <c r="AH77" i="11" s="1"/>
  <c r="AH78" i="11" s="1"/>
  <c r="AH79" i="11" s="1"/>
  <c r="AH80" i="11" s="1"/>
  <c r="AH81" i="11" s="1"/>
  <c r="AH82" i="11" s="1"/>
  <c r="AH83" i="11" s="1"/>
  <c r="AH84" i="11" s="1"/>
  <c r="AH85" i="11" s="1"/>
  <c r="AH86" i="11" s="1"/>
  <c r="AH87" i="11" s="1"/>
  <c r="AH88" i="11" s="1"/>
  <c r="AH89" i="11" s="1"/>
  <c r="AH90" i="11" s="1"/>
  <c r="AH91" i="11" s="1"/>
  <c r="AH92" i="11" s="1"/>
  <c r="AH93" i="11" s="1"/>
  <c r="AH94" i="11" s="1"/>
  <c r="AH95" i="11" s="1"/>
  <c r="AH96" i="11" s="1"/>
  <c r="O62" i="11"/>
  <c r="P62" i="11" s="1"/>
  <c r="AH61" i="11"/>
  <c r="P61" i="11"/>
  <c r="O61" i="11"/>
  <c r="AH60" i="11"/>
  <c r="P60" i="11"/>
  <c r="O60" i="11"/>
  <c r="AH59" i="11"/>
  <c r="O59" i="11"/>
  <c r="P59" i="11" s="1"/>
  <c r="AH58" i="11"/>
  <c r="P58" i="11"/>
  <c r="O58" i="11"/>
  <c r="AH57" i="11"/>
  <c r="AB57" i="11"/>
  <c r="O57" i="11"/>
  <c r="P57" i="11" s="1"/>
  <c r="AH56" i="11"/>
  <c r="AB56" i="11"/>
  <c r="O56" i="11"/>
  <c r="P56" i="11" s="1"/>
  <c r="AH55" i="11"/>
  <c r="AB55" i="11"/>
  <c r="O55" i="11"/>
  <c r="P55" i="11" s="1"/>
  <c r="AH54" i="11"/>
  <c r="AB54" i="11"/>
  <c r="O54" i="11"/>
  <c r="P54" i="11" s="1"/>
  <c r="AH53" i="11"/>
  <c r="AB53" i="11"/>
  <c r="O53" i="11"/>
  <c r="P53" i="11" s="1"/>
  <c r="AH52" i="11"/>
  <c r="O52" i="11"/>
  <c r="P52" i="11" s="1"/>
  <c r="AH51" i="11"/>
  <c r="O51" i="11"/>
  <c r="P51" i="11" s="1"/>
  <c r="AH50" i="11"/>
  <c r="AB50" i="11"/>
  <c r="O50" i="11"/>
  <c r="P50" i="11" s="1"/>
  <c r="AH49" i="11"/>
  <c r="AB49" i="11"/>
  <c r="O49" i="11"/>
  <c r="P49" i="11" s="1"/>
  <c r="AH48" i="11"/>
  <c r="O48" i="11"/>
  <c r="P48" i="11" s="1"/>
  <c r="AH47" i="11"/>
  <c r="O47" i="11"/>
  <c r="P47" i="11" s="1"/>
  <c r="AH46" i="11"/>
  <c r="AB46" i="11"/>
  <c r="O46" i="11"/>
  <c r="P46" i="11" s="1"/>
  <c r="AH45" i="11"/>
  <c r="O45" i="11"/>
  <c r="P45" i="11" s="1"/>
  <c r="AH44" i="11"/>
  <c r="O44" i="11"/>
  <c r="P44" i="11" s="1"/>
  <c r="C44" i="11"/>
  <c r="B44" i="11"/>
  <c r="AQ43" i="11"/>
  <c r="AH43" i="11"/>
  <c r="O290" i="11" s="1"/>
  <c r="Q290" i="11" s="1"/>
  <c r="AB43" i="11"/>
  <c r="O43" i="11"/>
  <c r="P43" i="11" s="1"/>
  <c r="G24" i="11"/>
  <c r="F24" i="11"/>
  <c r="E24" i="11"/>
  <c r="B24" i="11"/>
  <c r="G23" i="11"/>
  <c r="F23" i="11"/>
  <c r="E23" i="11"/>
  <c r="B23" i="11"/>
  <c r="E18" i="11"/>
  <c r="AF68" i="11" s="1"/>
  <c r="G14" i="11"/>
  <c r="AA11" i="11"/>
  <c r="I11" i="11"/>
  <c r="AC6" i="11"/>
  <c r="D253" i="8"/>
  <c r="D252" i="8"/>
  <c r="D251" i="8"/>
  <c r="D250" i="8"/>
  <c r="D249" i="8"/>
  <c r="D248" i="8"/>
  <c r="D247" i="8"/>
  <c r="D246" i="8"/>
  <c r="D245" i="8"/>
  <c r="D244" i="8"/>
  <c r="D243" i="8"/>
  <c r="D242" i="8"/>
  <c r="D241" i="8"/>
  <c r="D240" i="8"/>
  <c r="D239" i="8"/>
  <c r="D238" i="8"/>
  <c r="D237" i="8"/>
  <c r="D236" i="8"/>
  <c r="D235" i="8"/>
  <c r="D234" i="8"/>
  <c r="D233" i="8"/>
  <c r="D232" i="8"/>
  <c r="D231" i="8"/>
  <c r="D230" i="8"/>
  <c r="D229" i="8"/>
  <c r="D228" i="8"/>
  <c r="D227" i="8"/>
  <c r="D226" i="8"/>
  <c r="D225" i="8"/>
  <c r="D224" i="8"/>
  <c r="D223" i="8"/>
  <c r="D222" i="8"/>
  <c r="D221" i="8"/>
  <c r="D220" i="8"/>
  <c r="D219" i="8"/>
  <c r="D218" i="8"/>
  <c r="D217" i="8"/>
  <c r="D216" i="8"/>
  <c r="D215" i="8"/>
  <c r="D214" i="8"/>
  <c r="D213" i="8"/>
  <c r="D212" i="8"/>
  <c r="D211" i="8"/>
  <c r="D210" i="8"/>
  <c r="D209" i="8"/>
  <c r="D208" i="8"/>
  <c r="D207" i="8"/>
  <c r="D206" i="8"/>
  <c r="D205" i="8"/>
  <c r="D204" i="8"/>
  <c r="D203" i="8"/>
  <c r="D202" i="8"/>
  <c r="D201" i="8"/>
  <c r="D200" i="8"/>
  <c r="D199" i="8"/>
  <c r="D198" i="8"/>
  <c r="D197" i="8"/>
  <c r="D196" i="8"/>
  <c r="D195" i="8"/>
  <c r="D194" i="8"/>
  <c r="D193" i="8"/>
  <c r="D192" i="8"/>
  <c r="E191" i="8"/>
  <c r="D191" i="8"/>
  <c r="H187" i="8"/>
  <c r="T185" i="8"/>
  <c r="T184" i="8"/>
  <c r="O181" i="8"/>
  <c r="AN96" i="8"/>
  <c r="AH40" i="8"/>
  <c r="L10" i="7"/>
  <c r="X214" i="11" l="1"/>
  <c r="X217" i="11"/>
  <c r="M305" i="11"/>
  <c r="M308" i="11"/>
  <c r="BE325" i="11"/>
  <c r="J341" i="11"/>
  <c r="J298" i="11"/>
  <c r="BD307" i="11"/>
  <c r="J309" i="11"/>
  <c r="F313" i="11"/>
  <c r="L313" i="11" s="1"/>
  <c r="M313" i="11" s="1"/>
  <c r="F321" i="11"/>
  <c r="L321" i="11" s="1"/>
  <c r="M321" i="11" s="1"/>
  <c r="BB322" i="11"/>
  <c r="BD322" i="11" s="1"/>
  <c r="BB331" i="11"/>
  <c r="BD331" i="11" s="1"/>
  <c r="B332" i="11"/>
  <c r="B333" i="11"/>
  <c r="I335" i="11"/>
  <c r="BE339" i="11"/>
  <c r="BE341" i="11"/>
  <c r="X198" i="11"/>
  <c r="X201" i="11"/>
  <c r="E293" i="11"/>
  <c r="J293" i="11" s="1"/>
  <c r="BE298" i="11"/>
  <c r="N301" i="11"/>
  <c r="BG304" i="11"/>
  <c r="BH304" i="11" s="1"/>
  <c r="BI304" i="11" s="1"/>
  <c r="BE308" i="11"/>
  <c r="M309" i="11"/>
  <c r="BE314" i="11"/>
  <c r="M317" i="11"/>
  <c r="J321" i="11"/>
  <c r="BE323" i="11"/>
  <c r="BE324" i="11"/>
  <c r="BE326" i="11"/>
  <c r="N329" i="11"/>
  <c r="BC332" i="11"/>
  <c r="BD339" i="11"/>
  <c r="BG340" i="11"/>
  <c r="BH340" i="11" s="1"/>
  <c r="BI340" i="11" s="1"/>
  <c r="H291" i="11" a="1"/>
  <c r="H291" i="11" s="1"/>
  <c r="AQ44" i="11" s="1"/>
  <c r="BB296" i="11"/>
  <c r="BG298" i="11"/>
  <c r="BH298" i="11" s="1"/>
  <c r="BJ298" i="11" s="1"/>
  <c r="BB308" i="11"/>
  <c r="BC308" i="11" s="1"/>
  <c r="BG308" i="11"/>
  <c r="BH308" i="11" s="1"/>
  <c r="BJ308" i="11" s="1"/>
  <c r="BG309" i="11"/>
  <c r="BH309" i="11" s="1"/>
  <c r="BJ309" i="11" s="1"/>
  <c r="F316" i="11"/>
  <c r="L316" i="11" s="1"/>
  <c r="M316" i="11" s="1"/>
  <c r="B323" i="11"/>
  <c r="BG324" i="11"/>
  <c r="BH324" i="11" s="1"/>
  <c r="BI324" i="11" s="1"/>
  <c r="I327" i="11"/>
  <c r="BB330" i="11"/>
  <c r="BD330" i="11" s="1"/>
  <c r="N332" i="11"/>
  <c r="F337" i="11"/>
  <c r="N337" i="11" s="1"/>
  <c r="BB340" i="11"/>
  <c r="BC340" i="11" s="1"/>
  <c r="BB342" i="11"/>
  <c r="BC342" i="11" s="1"/>
  <c r="BD299" i="11"/>
  <c r="BB304" i="11"/>
  <c r="BD304" i="11" s="1"/>
  <c r="B305" i="11"/>
  <c r="BB324" i="11"/>
  <c r="BC324" i="11" s="1"/>
  <c r="B325" i="11"/>
  <c r="N340" i="11"/>
  <c r="B341" i="11"/>
  <c r="X213" i="11"/>
  <c r="J291" i="11"/>
  <c r="E294" i="11"/>
  <c r="I294" i="11" s="1"/>
  <c r="I300" i="11"/>
  <c r="N302" i="11"/>
  <c r="J306" i="11"/>
  <c r="N307" i="11"/>
  <c r="I311" i="11"/>
  <c r="BB313" i="11"/>
  <c r="BC313" i="11" s="1"/>
  <c r="BE316" i="11"/>
  <c r="BG326" i="11"/>
  <c r="BH326" i="11" s="1"/>
  <c r="BJ326" i="11" s="1"/>
  <c r="I330" i="11"/>
  <c r="BE333" i="11"/>
  <c r="BG296" i="11"/>
  <c r="BH296" i="11" s="1"/>
  <c r="BI296" i="11" s="1"/>
  <c r="F299" i="11"/>
  <c r="BG301" i="11"/>
  <c r="BH301" i="11" s="1"/>
  <c r="BJ301" i="11" s="1"/>
  <c r="F304" i="11"/>
  <c r="N304" i="11" s="1"/>
  <c r="BE306" i="11"/>
  <c r="BE307" i="11"/>
  <c r="J308" i="11"/>
  <c r="B316" i="11"/>
  <c r="BG316" i="11"/>
  <c r="BH316" i="11" s="1"/>
  <c r="BI316" i="11" s="1"/>
  <c r="BG318" i="11"/>
  <c r="BH318" i="11" s="1"/>
  <c r="BJ318" i="11" s="1"/>
  <c r="F323" i="11"/>
  <c r="L323" i="11" s="1"/>
  <c r="F324" i="11"/>
  <c r="L324" i="11" s="1"/>
  <c r="M324" i="11" s="1"/>
  <c r="BE332" i="11"/>
  <c r="BG333" i="11"/>
  <c r="BH333" i="11" s="1"/>
  <c r="BJ333" i="11" s="1"/>
  <c r="K340" i="11"/>
  <c r="M340" i="11" s="1"/>
  <c r="E2" i="3"/>
  <c r="A2" i="3" a="1"/>
  <c r="AB11" i="8" s="1"/>
  <c r="N14" i="9"/>
  <c r="C2" i="3"/>
  <c r="AF93" i="11"/>
  <c r="AF94" i="11"/>
  <c r="AF91" i="11"/>
  <c r="AF87" i="11"/>
  <c r="AF79" i="11"/>
  <c r="AF71" i="11"/>
  <c r="AF63" i="11"/>
  <c r="AF88" i="11"/>
  <c r="AF80" i="11"/>
  <c r="AF72" i="11"/>
  <c r="AF64" i="11"/>
  <c r="AF89" i="11"/>
  <c r="AF81" i="11"/>
  <c r="AF73" i="11"/>
  <c r="AF65" i="11"/>
  <c r="AF57" i="11"/>
  <c r="AF56" i="11"/>
  <c r="AF55" i="11"/>
  <c r="AF54" i="11"/>
  <c r="AF53" i="11"/>
  <c r="AF52" i="11"/>
  <c r="AF51" i="11"/>
  <c r="AF50" i="11"/>
  <c r="AF49" i="11"/>
  <c r="AF48" i="11"/>
  <c r="AF47" i="11"/>
  <c r="AF46" i="11"/>
  <c r="AF45" i="11"/>
  <c r="AF44" i="11"/>
  <c r="AF43" i="11"/>
  <c r="AF82" i="11"/>
  <c r="AF74" i="11"/>
  <c r="AF66" i="11"/>
  <c r="AF58" i="11"/>
  <c r="AF90" i="11"/>
  <c r="AF83" i="11"/>
  <c r="AF75" i="11"/>
  <c r="AF67" i="11"/>
  <c r="AF59" i="11"/>
  <c r="AF95" i="11"/>
  <c r="AF85" i="11"/>
  <c r="AF77" i="11"/>
  <c r="AF69" i="11"/>
  <c r="AF61" i="11"/>
  <c r="AF92" i="11"/>
  <c r="AF86" i="11"/>
  <c r="AF78" i="11"/>
  <c r="AF70" i="11"/>
  <c r="AF62" i="11"/>
  <c r="AF60" i="11"/>
  <c r="AF76" i="11"/>
  <c r="B45" i="11"/>
  <c r="C45" i="11"/>
  <c r="AF84" i="11"/>
  <c r="J297" i="11"/>
  <c r="I297" i="11"/>
  <c r="X209" i="11"/>
  <c r="M297" i="11"/>
  <c r="L290" i="11"/>
  <c r="M290" i="11" s="1"/>
  <c r="L293" i="11"/>
  <c r="M293" i="11" s="1"/>
  <c r="N293" i="11" s="1"/>
  <c r="B291" i="11"/>
  <c r="BE296" i="11"/>
  <c r="B298" i="11"/>
  <c r="K299" i="11"/>
  <c r="BG299" i="11"/>
  <c r="BH299" i="11" s="1"/>
  <c r="BJ299" i="11" s="1"/>
  <c r="I301" i="11"/>
  <c r="BB301" i="11"/>
  <c r="BC301" i="11" s="1"/>
  <c r="BE304" i="11"/>
  <c r="B306" i="11"/>
  <c r="K307" i="11"/>
  <c r="M307" i="11" s="1"/>
  <c r="N313" i="11"/>
  <c r="BB314" i="11"/>
  <c r="BD314" i="11" s="1"/>
  <c r="J317" i="11"/>
  <c r="BB329" i="11"/>
  <c r="BC329" i="11" s="1"/>
  <c r="BB337" i="11"/>
  <c r="BC337" i="11" s="1"/>
  <c r="B295" i="11"/>
  <c r="E296" i="11"/>
  <c r="N297" i="11"/>
  <c r="BB298" i="11"/>
  <c r="BD298" i="11" s="1"/>
  <c r="B303" i="11"/>
  <c r="N305" i="11"/>
  <c r="BB306" i="11"/>
  <c r="BD306" i="11" s="1"/>
  <c r="BE311" i="11"/>
  <c r="BG311" i="11"/>
  <c r="BH311" i="11" s="1"/>
  <c r="BJ311" i="11" s="1"/>
  <c r="BE312" i="11"/>
  <c r="BB318" i="11"/>
  <c r="BD318" i="11" s="1"/>
  <c r="B320" i="11"/>
  <c r="BG319" i="11"/>
  <c r="BH319" i="11" s="1"/>
  <c r="BI319" i="11" s="1"/>
  <c r="BE320" i="11"/>
  <c r="BG321" i="11"/>
  <c r="BH321" i="11" s="1"/>
  <c r="BJ321" i="11" s="1"/>
  <c r="F322" i="11"/>
  <c r="L322" i="11" s="1"/>
  <c r="B322" i="11"/>
  <c r="M329" i="11"/>
  <c r="BG329" i="11"/>
  <c r="BH329" i="11" s="1"/>
  <c r="BJ329" i="11" s="1"/>
  <c r="BE329" i="11"/>
  <c r="F330" i="11"/>
  <c r="L330" i="11" s="1"/>
  <c r="BE330" i="11"/>
  <c r="B330" i="11"/>
  <c r="N333" i="11"/>
  <c r="K333" i="11"/>
  <c r="M333" i="11" s="1"/>
  <c r="B336" i="11"/>
  <c r="BG335" i="11"/>
  <c r="BH335" i="11" s="1"/>
  <c r="BI335" i="11" s="1"/>
  <c r="F336" i="11"/>
  <c r="BE336" i="11"/>
  <c r="BG337" i="11"/>
  <c r="BH337" i="11" s="1"/>
  <c r="BI337" i="11" s="1"/>
  <c r="BE337" i="11"/>
  <c r="F338" i="11"/>
  <c r="L338" i="11" s="1"/>
  <c r="BE338" i="11"/>
  <c r="B338" i="11"/>
  <c r="N341" i="11"/>
  <c r="K341" i="11"/>
  <c r="M341" i="11" s="1"/>
  <c r="B344" i="11"/>
  <c r="BG343" i="11"/>
  <c r="BH343" i="11" s="1"/>
  <c r="BJ343" i="11" s="1"/>
  <c r="F344" i="11"/>
  <c r="L344" i="11" s="1"/>
  <c r="BE344" i="11"/>
  <c r="L294" i="11"/>
  <c r="M294" i="11" s="1"/>
  <c r="N294" i="11" s="1"/>
  <c r="BB295" i="11"/>
  <c r="BD295" i="11" s="1"/>
  <c r="L296" i="11"/>
  <c r="M296" i="11" s="1"/>
  <c r="BB303" i="11"/>
  <c r="BD303" i="11" s="1"/>
  <c r="L304" i="11"/>
  <c r="M304" i="11" s="1"/>
  <c r="N317" i="11"/>
  <c r="K322" i="11"/>
  <c r="M322" i="11" s="1"/>
  <c r="N325" i="11"/>
  <c r="N330" i="11"/>
  <c r="J334" i="11"/>
  <c r="I334" i="11"/>
  <c r="N338" i="11"/>
  <c r="N339" i="11"/>
  <c r="K339" i="11"/>
  <c r="M339" i="11" s="1"/>
  <c r="J342" i="11"/>
  <c r="I342" i="11"/>
  <c r="N344" i="11"/>
  <c r="K291" i="11"/>
  <c r="BE295" i="11"/>
  <c r="K298" i="11"/>
  <c r="BB300" i="11"/>
  <c r="BD300" i="11" s="1"/>
  <c r="BE303" i="11"/>
  <c r="K306" i="11"/>
  <c r="B310" i="11"/>
  <c r="F310" i="11"/>
  <c r="L310" i="11" s="1"/>
  <c r="M310" i="11" s="1"/>
  <c r="BG314" i="11"/>
  <c r="BH314" i="11" s="1"/>
  <c r="BJ314" i="11" s="1"/>
  <c r="M328" i="11"/>
  <c r="N331" i="11"/>
  <c r="K331" i="11"/>
  <c r="M331" i="11" s="1"/>
  <c r="F291" i="11"/>
  <c r="E295" i="11"/>
  <c r="K295" i="11"/>
  <c r="BG295" i="11"/>
  <c r="BH295" i="11" s="1"/>
  <c r="BJ295" i="11" s="1"/>
  <c r="BB297" i="11"/>
  <c r="BC297" i="11" s="1"/>
  <c r="F298" i="11"/>
  <c r="N298" i="11" s="1"/>
  <c r="BE300" i="11"/>
  <c r="K303" i="11"/>
  <c r="BG303" i="11"/>
  <c r="BH303" i="11" s="1"/>
  <c r="BJ303" i="11" s="1"/>
  <c r="BB305" i="11"/>
  <c r="BC305" i="11" s="1"/>
  <c r="F306" i="11"/>
  <c r="L306" i="11" s="1"/>
  <c r="F311" i="11"/>
  <c r="F312" i="11"/>
  <c r="BB312" i="11"/>
  <c r="BD312" i="11" s="1"/>
  <c r="K315" i="11"/>
  <c r="J316" i="11"/>
  <c r="I316" i="11"/>
  <c r="I318" i="11"/>
  <c r="BE319" i="11"/>
  <c r="L319" i="11"/>
  <c r="M319" i="11" s="1"/>
  <c r="F320" i="11"/>
  <c r="J326" i="11"/>
  <c r="I326" i="11"/>
  <c r="F327" i="11"/>
  <c r="BE327" i="11"/>
  <c r="L328" i="11"/>
  <c r="I336" i="11"/>
  <c r="I344" i="11"/>
  <c r="I290" i="11"/>
  <c r="G290" i="11" s="1" a="1"/>
  <c r="G290" i="11" s="1"/>
  <c r="E292" i="11"/>
  <c r="I293" i="11"/>
  <c r="F295" i="11"/>
  <c r="BE297" i="11"/>
  <c r="B299" i="11"/>
  <c r="BG300" i="11"/>
  <c r="BH300" i="11" s="1"/>
  <c r="BI300" i="11" s="1"/>
  <c r="I302" i="11"/>
  <c r="F303" i="11"/>
  <c r="L303" i="11" s="1"/>
  <c r="B307" i="11"/>
  <c r="BB310" i="11"/>
  <c r="BD310" i="11" s="1"/>
  <c r="J313" i="11"/>
  <c r="F314" i="11"/>
  <c r="L314" i="11" s="1"/>
  <c r="M314" i="11" s="1"/>
  <c r="B314" i="11"/>
  <c r="BE317" i="11"/>
  <c r="BB321" i="11"/>
  <c r="BC321" i="11" s="1"/>
  <c r="J324" i="11"/>
  <c r="I324" i="11"/>
  <c r="J325" i="11"/>
  <c r="BB327" i="11"/>
  <c r="BD327" i="11" s="1"/>
  <c r="M344" i="11"/>
  <c r="F292" i="11"/>
  <c r="B296" i="11"/>
  <c r="F300" i="11"/>
  <c r="L300" i="11" s="1"/>
  <c r="M300" i="11" s="1"/>
  <c r="BE302" i="11"/>
  <c r="B304" i="11"/>
  <c r="N306" i="11"/>
  <c r="N309" i="11"/>
  <c r="BE310" i="11"/>
  <c r="BB311" i="11"/>
  <c r="BD311" i="11" s="1"/>
  <c r="N314" i="11"/>
  <c r="F315" i="11"/>
  <c r="L315" i="11" s="1"/>
  <c r="BB315" i="11"/>
  <c r="BD315" i="11" s="1"/>
  <c r="I320" i="11"/>
  <c r="N323" i="11"/>
  <c r="K323" i="11"/>
  <c r="M323" i="11" s="1"/>
  <c r="K325" i="11"/>
  <c r="M325" i="11" s="1"/>
  <c r="B328" i="11"/>
  <c r="BG327" i="11"/>
  <c r="BH327" i="11" s="1"/>
  <c r="BI327" i="11" s="1"/>
  <c r="BE328" i="11"/>
  <c r="BB336" i="11"/>
  <c r="BD336" i="11" s="1"/>
  <c r="L337" i="11"/>
  <c r="M337" i="11" s="1"/>
  <c r="BB344" i="11"/>
  <c r="BD344" i="11" s="1"/>
  <c r="BE299" i="11"/>
  <c r="I312" i="11"/>
  <c r="BE315" i="11"/>
  <c r="BE318" i="11"/>
  <c r="B318" i="11"/>
  <c r="F318" i="11"/>
  <c r="L318" i="11" s="1"/>
  <c r="M318" i="11" s="1"/>
  <c r="BB309" i="11"/>
  <c r="BD309" i="11" s="1"/>
  <c r="BG315" i="11"/>
  <c r="BH315" i="11" s="1"/>
  <c r="BJ315" i="11" s="1"/>
  <c r="BB317" i="11"/>
  <c r="BC317" i="11" s="1"/>
  <c r="BG323" i="11"/>
  <c r="BH323" i="11" s="1"/>
  <c r="BJ323" i="11" s="1"/>
  <c r="BB325" i="11"/>
  <c r="BD325" i="11" s="1"/>
  <c r="F326" i="11"/>
  <c r="BG331" i="11"/>
  <c r="BH331" i="11" s="1"/>
  <c r="BJ331" i="11" s="1"/>
  <c r="BB333" i="11"/>
  <c r="BC333" i="11" s="1"/>
  <c r="F334" i="11"/>
  <c r="BG339" i="11"/>
  <c r="BH339" i="11" s="1"/>
  <c r="BJ339" i="11" s="1"/>
  <c r="BB341" i="11"/>
  <c r="BC341" i="11" s="1"/>
  <c r="F342" i="11"/>
  <c r="BB335" i="11"/>
  <c r="BD335" i="11" s="1"/>
  <c r="BB343" i="11"/>
  <c r="BD343" i="11" s="1"/>
  <c r="B313" i="11"/>
  <c r="B321" i="11"/>
  <c r="BG322" i="11"/>
  <c r="BH322" i="11" s="1"/>
  <c r="BJ322" i="11" s="1"/>
  <c r="B329" i="11"/>
  <c r="K330" i="11"/>
  <c r="BG330" i="11"/>
  <c r="BH330" i="11" s="1"/>
  <c r="BJ330" i="11" s="1"/>
  <c r="I332" i="11"/>
  <c r="BE335" i="11"/>
  <c r="B337" i="11"/>
  <c r="K338" i="11"/>
  <c r="BG338" i="11"/>
  <c r="BH338" i="11" s="1"/>
  <c r="BJ338" i="11" s="1"/>
  <c r="I340" i="11"/>
  <c r="BE343" i="11"/>
  <c r="B326" i="11"/>
  <c r="B334" i="11"/>
  <c r="B342" i="11"/>
  <c r="BB326" i="11"/>
  <c r="BD326" i="11" s="1"/>
  <c r="BB334" i="11"/>
  <c r="BC334" i="11" s="1"/>
  <c r="F335" i="11"/>
  <c r="B339" i="11"/>
  <c r="F343" i="11"/>
  <c r="BE342" i="11"/>
  <c r="J26" i="8"/>
  <c r="AJ40" i="8" s="1"/>
  <c r="P253" i="8"/>
  <c r="I190" i="8"/>
  <c r="BJ312" i="11"/>
  <c r="BJ336" i="11"/>
  <c r="BD332" i="11"/>
  <c r="BC338" i="11"/>
  <c r="BI313" i="11"/>
  <c r="BJ320" i="11"/>
  <c r="BI317" i="11"/>
  <c r="BJ332" i="11"/>
  <c r="BD324" i="11"/>
  <c r="BI325" i="11"/>
  <c r="BI328" i="11"/>
  <c r="BI341" i="11"/>
  <c r="BI297" i="11"/>
  <c r="BC302" i="11"/>
  <c r="BI305" i="11"/>
  <c r="BJ344" i="11"/>
  <c r="BI306" i="11"/>
  <c r="BC319" i="11"/>
  <c r="BI307" i="11"/>
  <c r="BC320" i="11"/>
  <c r="BC328" i="11"/>
  <c r="BI294" i="11"/>
  <c r="BC299" i="11"/>
  <c r="BI302" i="11"/>
  <c r="BC307" i="11"/>
  <c r="BI310" i="11"/>
  <c r="BC323" i="11"/>
  <c r="BI334" i="11"/>
  <c r="BC339" i="11"/>
  <c r="BI342" i="11"/>
  <c r="BC316" i="11"/>
  <c r="AB11" i="9"/>
  <c r="Q11" i="9"/>
  <c r="S11" i="9"/>
  <c r="V11" i="9"/>
  <c r="X11" i="9"/>
  <c r="N15" i="9"/>
  <c r="H190" i="8"/>
  <c r="N253" i="8"/>
  <c r="O253" i="8"/>
  <c r="BD340" i="11" l="1"/>
  <c r="BI308" i="11"/>
  <c r="BI326" i="11"/>
  <c r="BI333" i="11"/>
  <c r="BI318" i="11"/>
  <c r="BC330" i="11"/>
  <c r="BI298" i="11"/>
  <c r="BC331" i="11"/>
  <c r="BJ340" i="11"/>
  <c r="BC322" i="11"/>
  <c r="BI309" i="11"/>
  <c r="BD313" i="11"/>
  <c r="BC296" i="11"/>
  <c r="BJ296" i="11"/>
  <c r="BJ316" i="11"/>
  <c r="BD308" i="11"/>
  <c r="BJ304" i="11"/>
  <c r="BI301" i="11"/>
  <c r="N321" i="11"/>
  <c r="BD342" i="11"/>
  <c r="M330" i="11"/>
  <c r="J294" i="11"/>
  <c r="L299" i="11"/>
  <c r="M299" i="11" s="1"/>
  <c r="AB52" i="11"/>
  <c r="N316" i="11"/>
  <c r="N322" i="11"/>
  <c r="N324" i="11"/>
  <c r="BC304" i="11"/>
  <c r="BJ324" i="11"/>
  <c r="M338" i="11"/>
  <c r="M303" i="11"/>
  <c r="N299" i="11"/>
  <c r="M315" i="11"/>
  <c r="J18" i="7"/>
  <c r="C112" i="8"/>
  <c r="C111" i="8"/>
  <c r="N184" i="8"/>
  <c r="J17" i="7"/>
  <c r="B13" i="7"/>
  <c r="A2" i="3"/>
  <c r="C9" i="8" s="1"/>
  <c r="C145" i="8"/>
  <c r="C140" i="8"/>
  <c r="C142" i="8"/>
  <c r="C141" i="8"/>
  <c r="C139" i="8"/>
  <c r="C143" i="8"/>
  <c r="C144" i="8"/>
  <c r="H116" i="8"/>
  <c r="J110" i="8"/>
  <c r="H114" i="8"/>
  <c r="C121" i="8" s="1"/>
  <c r="M110" i="8"/>
  <c r="C114" i="8"/>
  <c r="K109" i="8"/>
  <c r="G110" i="8"/>
  <c r="H118" i="8"/>
  <c r="B11" i="7"/>
  <c r="H109" i="8"/>
  <c r="H21" i="8"/>
  <c r="J19" i="7"/>
  <c r="N183" i="8"/>
  <c r="D33" i="8"/>
  <c r="B9" i="7"/>
  <c r="I5" i="8"/>
  <c r="B11" i="9"/>
  <c r="B4" i="9"/>
  <c r="C5" i="8"/>
  <c r="F21" i="8"/>
  <c r="C104" i="8"/>
  <c r="L33" i="8"/>
  <c r="C19" i="8"/>
  <c r="C11" i="8"/>
  <c r="L3" i="7"/>
  <c r="J7" i="7" s="1" a="1"/>
  <c r="J7" i="7" s="1"/>
  <c r="N182" i="8"/>
  <c r="K33" i="8"/>
  <c r="F33" i="8"/>
  <c r="B10" i="9"/>
  <c r="C13" i="8"/>
  <c r="C26" i="8"/>
  <c r="B8" i="7"/>
  <c r="B5" i="9"/>
  <c r="G33" i="8"/>
  <c r="C33" i="8"/>
  <c r="B7" i="7"/>
  <c r="B9" i="9"/>
  <c r="C108" i="8"/>
  <c r="C24" i="8"/>
  <c r="C7" i="8"/>
  <c r="C106" i="8"/>
  <c r="L21" i="8"/>
  <c r="D3" i="8"/>
  <c r="I33" i="8"/>
  <c r="J21" i="8"/>
  <c r="C102" i="8"/>
  <c r="E109" i="8"/>
  <c r="BC315" i="11"/>
  <c r="BC310" i="11"/>
  <c r="BJ319" i="11"/>
  <c r="BC312" i="11"/>
  <c r="BD334" i="11"/>
  <c r="BC314" i="11"/>
  <c r="BC298" i="11"/>
  <c r="BC303" i="11"/>
  <c r="BI343" i="11"/>
  <c r="BD329" i="11"/>
  <c r="BI299" i="11"/>
  <c r="BI303" i="11"/>
  <c r="BC336" i="11"/>
  <c r="BI338" i="11"/>
  <c r="BC306" i="11"/>
  <c r="BC300" i="11"/>
  <c r="BD301" i="11"/>
  <c r="BI321" i="11"/>
  <c r="BD333" i="11"/>
  <c r="BD317" i="11"/>
  <c r="BD305" i="11"/>
  <c r="BC343" i="11"/>
  <c r="BD337" i="11"/>
  <c r="BD321" i="11"/>
  <c r="BC309" i="11"/>
  <c r="BI322" i="11"/>
  <c r="BC326" i="11"/>
  <c r="BI323" i="11"/>
  <c r="BI311" i="11"/>
  <c r="BI315" i="11"/>
  <c r="BI330" i="11"/>
  <c r="BC335" i="11"/>
  <c r="BD341" i="11"/>
  <c r="BC318" i="11"/>
  <c r="BC325" i="11"/>
  <c r="BC344" i="11"/>
  <c r="BJ300" i="11"/>
  <c r="BJ335" i="11"/>
  <c r="BI329" i="11"/>
  <c r="BC295" i="11"/>
  <c r="BI295" i="11"/>
  <c r="BI339" i="11"/>
  <c r="BI314" i="11"/>
  <c r="N290" i="11"/>
  <c r="N334" i="11"/>
  <c r="L334" i="11"/>
  <c r="M334" i="11" s="1"/>
  <c r="AP43" i="11"/>
  <c r="L327" i="11"/>
  <c r="M327" i="11" s="1"/>
  <c r="N327" i="11"/>
  <c r="N300" i="11"/>
  <c r="N310" i="11"/>
  <c r="G291" i="11" a="1"/>
  <c r="G291" i="11" s="1"/>
  <c r="N312" i="11"/>
  <c r="L312" i="11"/>
  <c r="M312" i="11" s="1"/>
  <c r="L298" i="11"/>
  <c r="M298" i="11" s="1"/>
  <c r="AB51" i="11"/>
  <c r="I296" i="11"/>
  <c r="J296" i="11"/>
  <c r="O291" i="11"/>
  <c r="Q291" i="11" s="1"/>
  <c r="B292" i="11"/>
  <c r="BC327" i="11"/>
  <c r="N342" i="11"/>
  <c r="L342" i="11"/>
  <c r="M342" i="11" s="1"/>
  <c r="L295" i="11"/>
  <c r="AB48" i="11"/>
  <c r="M306" i="11"/>
  <c r="N318" i="11"/>
  <c r="N303" i="11"/>
  <c r="BD296" i="11"/>
  <c r="BJ327" i="11"/>
  <c r="L326" i="11"/>
  <c r="M326" i="11" s="1"/>
  <c r="N326" i="11"/>
  <c r="M295" i="11"/>
  <c r="N311" i="11"/>
  <c r="L311" i="11"/>
  <c r="M311" i="11" s="1"/>
  <c r="L343" i="11"/>
  <c r="M343" i="11" s="1"/>
  <c r="N343" i="11"/>
  <c r="J295" i="11"/>
  <c r="I295" i="11"/>
  <c r="N336" i="11"/>
  <c r="L336" i="11"/>
  <c r="M336" i="11" s="1"/>
  <c r="BI331" i="11"/>
  <c r="BD297" i="11"/>
  <c r="L292" i="11"/>
  <c r="M292" i="11" s="1"/>
  <c r="N292" i="11" s="1"/>
  <c r="AB45" i="11"/>
  <c r="N320" i="11"/>
  <c r="L320" i="11"/>
  <c r="M320" i="11" s="1"/>
  <c r="L291" i="11"/>
  <c r="M291" i="11" s="1"/>
  <c r="AB44" i="11"/>
  <c r="N295" i="11"/>
  <c r="B46" i="11"/>
  <c r="C46" i="11"/>
  <c r="BC311" i="11"/>
  <c r="BJ337" i="11"/>
  <c r="L335" i="11"/>
  <c r="M335" i="11" s="1"/>
  <c r="N335" i="11"/>
  <c r="J292" i="11"/>
  <c r="H292" i="11" s="1" a="1"/>
  <c r="H292" i="11" s="1"/>
  <c r="I292" i="11"/>
  <c r="N315" i="11"/>
  <c r="F13" i="8"/>
  <c r="L26" i="8"/>
  <c r="L24" i="8"/>
  <c r="J24" i="8"/>
  <c r="AJ39" i="8" s="1"/>
  <c r="F24" i="8"/>
  <c r="H26" i="8"/>
  <c r="AI40" i="8" s="1"/>
  <c r="H24" i="8"/>
  <c r="AI39" i="8" s="1"/>
  <c r="X253" i="8" l="1"/>
  <c r="E194" i="8"/>
  <c r="E197" i="8"/>
  <c r="X218" i="8"/>
  <c r="F219" i="8"/>
  <c r="K219" i="8" s="1"/>
  <c r="G219" i="8"/>
  <c r="E219" i="8"/>
  <c r="Q219" i="8" s="1"/>
  <c r="F235" i="8"/>
  <c r="J235" i="8" s="1"/>
  <c r="G235" i="8"/>
  <c r="E235" i="8"/>
  <c r="Q235" i="8" s="1"/>
  <c r="X234" i="8"/>
  <c r="E196" i="8"/>
  <c r="F202" i="8"/>
  <c r="J202" i="8" s="1"/>
  <c r="E202" i="8"/>
  <c r="G202" i="8"/>
  <c r="F251" i="8"/>
  <c r="J251" i="8" s="1"/>
  <c r="G251" i="8"/>
  <c r="X250" i="8"/>
  <c r="E251" i="8"/>
  <c r="Q251" i="8" s="1"/>
  <c r="G231" i="8"/>
  <c r="E231" i="8"/>
  <c r="Q231" i="8" s="1"/>
  <c r="F231" i="8"/>
  <c r="K231" i="8" s="1"/>
  <c r="X230" i="8"/>
  <c r="F211" i="8"/>
  <c r="K211" i="8" s="1"/>
  <c r="G211" i="8"/>
  <c r="E211" i="8"/>
  <c r="Q211" i="8" s="1"/>
  <c r="X210" i="8"/>
  <c r="E239" i="8"/>
  <c r="Q239" i="8" s="1"/>
  <c r="G239" i="8"/>
  <c r="F239" i="8"/>
  <c r="J239" i="8" s="1"/>
  <c r="X238" i="8"/>
  <c r="E198" i="8"/>
  <c r="F198" i="8"/>
  <c r="F203" i="8"/>
  <c r="J203" i="8" s="1"/>
  <c r="G203" i="8"/>
  <c r="E203" i="8"/>
  <c r="F252" i="8"/>
  <c r="J252" i="8" s="1"/>
  <c r="X251" i="8"/>
  <c r="E252" i="8"/>
  <c r="Q252" i="8" s="1"/>
  <c r="G252" i="8"/>
  <c r="E207" i="8"/>
  <c r="Q207" i="8" s="1"/>
  <c r="G207" i="8"/>
  <c r="F207" i="8"/>
  <c r="J207" i="8" s="1"/>
  <c r="X206" i="8"/>
  <c r="E223" i="8"/>
  <c r="Q223" i="8" s="1"/>
  <c r="G223" i="8"/>
  <c r="F223" i="8"/>
  <c r="K223" i="8" s="1"/>
  <c r="X222" i="8"/>
  <c r="G192" i="8"/>
  <c r="E192" i="8"/>
  <c r="F192" i="8"/>
  <c r="E199" i="8"/>
  <c r="F204" i="8"/>
  <c r="AN46" i="8" s="1"/>
  <c r="E204" i="8"/>
  <c r="Q204" i="8" s="1"/>
  <c r="G208" i="8"/>
  <c r="E208" i="8"/>
  <c r="Q208" i="8" s="1"/>
  <c r="F208" i="8"/>
  <c r="J208" i="8" s="1"/>
  <c r="X207" i="8"/>
  <c r="F212" i="8"/>
  <c r="AN54" i="8" s="1"/>
  <c r="X211" i="8"/>
  <c r="G212" i="8"/>
  <c r="E212" i="8"/>
  <c r="Q212" i="8" s="1"/>
  <c r="G216" i="8"/>
  <c r="E216" i="8"/>
  <c r="Q216" i="8" s="1"/>
  <c r="X215" i="8"/>
  <c r="F216" i="8"/>
  <c r="J216" i="8" s="1"/>
  <c r="F220" i="8"/>
  <c r="K220" i="8" s="1"/>
  <c r="X219" i="8"/>
  <c r="E220" i="8"/>
  <c r="Q220" i="8" s="1"/>
  <c r="G220" i="8"/>
  <c r="G224" i="8"/>
  <c r="E224" i="8"/>
  <c r="Q224" i="8" s="1"/>
  <c r="X223" i="8"/>
  <c r="F224" i="8"/>
  <c r="AN66" i="8" s="1"/>
  <c r="F228" i="8"/>
  <c r="AN70" i="8" s="1"/>
  <c r="X227" i="8"/>
  <c r="G228" i="8"/>
  <c r="E228" i="8"/>
  <c r="Q228" i="8" s="1"/>
  <c r="G232" i="8"/>
  <c r="E232" i="8"/>
  <c r="Q232" i="8" s="1"/>
  <c r="X231" i="8"/>
  <c r="F232" i="8"/>
  <c r="J232" i="8" s="1"/>
  <c r="F236" i="8"/>
  <c r="K236" i="8" s="1"/>
  <c r="X235" i="8"/>
  <c r="E236" i="8"/>
  <c r="Q236" i="8" s="1"/>
  <c r="G236" i="8"/>
  <c r="G240" i="8"/>
  <c r="E240" i="8"/>
  <c r="Q240" i="8" s="1"/>
  <c r="F240" i="8"/>
  <c r="K240" i="8" s="1"/>
  <c r="X239" i="8"/>
  <c r="F244" i="8"/>
  <c r="J244" i="8" s="1"/>
  <c r="X243" i="8"/>
  <c r="G244" i="8"/>
  <c r="E244" i="8"/>
  <c r="Q244" i="8" s="1"/>
  <c r="G248" i="8"/>
  <c r="E248" i="8"/>
  <c r="Q248" i="8" s="1"/>
  <c r="X247" i="8"/>
  <c r="F248" i="8"/>
  <c r="J248" i="8" s="1"/>
  <c r="E247" i="8"/>
  <c r="Q247" i="8" s="1"/>
  <c r="G247" i="8"/>
  <c r="F247" i="8"/>
  <c r="J247" i="8" s="1"/>
  <c r="X246" i="8"/>
  <c r="E200" i="8"/>
  <c r="Q200" i="8" s="1"/>
  <c r="E253" i="8"/>
  <c r="Q253" i="8" s="1"/>
  <c r="F253" i="8"/>
  <c r="J253" i="8" s="1"/>
  <c r="X252" i="8"/>
  <c r="G253" i="8"/>
  <c r="E215" i="8"/>
  <c r="Q215" i="8" s="1"/>
  <c r="G215" i="8"/>
  <c r="F215" i="8"/>
  <c r="J215" i="8" s="1"/>
  <c r="X214" i="8"/>
  <c r="X242" i="8"/>
  <c r="F243" i="8"/>
  <c r="J243" i="8" s="1"/>
  <c r="G243" i="8"/>
  <c r="E243" i="8"/>
  <c r="Q243" i="8" s="1"/>
  <c r="F193" i="8"/>
  <c r="AN35" i="8" s="1"/>
  <c r="E193" i="8"/>
  <c r="E205" i="8"/>
  <c r="Q205" i="8" s="1"/>
  <c r="X208" i="8"/>
  <c r="G209" i="8"/>
  <c r="E209" i="8"/>
  <c r="Q209" i="8" s="1"/>
  <c r="F209" i="8"/>
  <c r="AN51" i="8" s="1"/>
  <c r="E213" i="8"/>
  <c r="Q213" i="8" s="1"/>
  <c r="F213" i="8"/>
  <c r="J213" i="8" s="1"/>
  <c r="X212" i="8"/>
  <c r="G213" i="8"/>
  <c r="X216" i="8"/>
  <c r="G217" i="8"/>
  <c r="E217" i="8"/>
  <c r="Q217" i="8" s="1"/>
  <c r="F217" i="8"/>
  <c r="K217" i="8" s="1"/>
  <c r="E221" i="8"/>
  <c r="Q221" i="8" s="1"/>
  <c r="F221" i="8"/>
  <c r="AN63" i="8" s="1"/>
  <c r="X220" i="8"/>
  <c r="G221" i="8"/>
  <c r="X224" i="8"/>
  <c r="G225" i="8"/>
  <c r="E225" i="8"/>
  <c r="Q225" i="8" s="1"/>
  <c r="F225" i="8"/>
  <c r="J225" i="8" s="1"/>
  <c r="E229" i="8"/>
  <c r="Q229" i="8" s="1"/>
  <c r="F229" i="8"/>
  <c r="K229" i="8" s="1"/>
  <c r="X228" i="8"/>
  <c r="G229" i="8"/>
  <c r="X232" i="8"/>
  <c r="G233" i="8"/>
  <c r="E233" i="8"/>
  <c r="Q233" i="8" s="1"/>
  <c r="F233" i="8"/>
  <c r="J233" i="8" s="1"/>
  <c r="E237" i="8"/>
  <c r="Q237" i="8" s="1"/>
  <c r="F237" i="8"/>
  <c r="J237" i="8" s="1"/>
  <c r="X236" i="8"/>
  <c r="G237" i="8"/>
  <c r="X240" i="8"/>
  <c r="G241" i="8"/>
  <c r="E241" i="8"/>
  <c r="Q241" i="8" s="1"/>
  <c r="F241" i="8"/>
  <c r="AN83" i="8" s="1"/>
  <c r="E245" i="8"/>
  <c r="Q245" i="8" s="1"/>
  <c r="F245" i="8"/>
  <c r="J245" i="8" s="1"/>
  <c r="X244" i="8"/>
  <c r="G245" i="8"/>
  <c r="X248" i="8"/>
  <c r="G249" i="8"/>
  <c r="E249" i="8"/>
  <c r="Q249" i="8" s="1"/>
  <c r="F249" i="8"/>
  <c r="J249" i="8" s="1"/>
  <c r="F227" i="8"/>
  <c r="AN69" i="8" s="1"/>
  <c r="G227" i="8"/>
  <c r="E227" i="8"/>
  <c r="Q227" i="8" s="1"/>
  <c r="X226" i="8"/>
  <c r="F250" i="8"/>
  <c r="J250" i="8" s="1"/>
  <c r="X249" i="8"/>
  <c r="E250" i="8"/>
  <c r="Q250" i="8" s="1"/>
  <c r="G250" i="8"/>
  <c r="G201" i="8"/>
  <c r="E201" i="8"/>
  <c r="F201" i="8"/>
  <c r="K201" i="8" s="1"/>
  <c r="G206" i="8"/>
  <c r="E206" i="8"/>
  <c r="Q206" i="8" s="1"/>
  <c r="X205" i="8"/>
  <c r="F206" i="8"/>
  <c r="AN48" i="8" s="1"/>
  <c r="F210" i="8"/>
  <c r="AN52" i="8" s="1"/>
  <c r="X209" i="8"/>
  <c r="G210" i="8"/>
  <c r="E210" i="8"/>
  <c r="Q210" i="8" s="1"/>
  <c r="G214" i="8"/>
  <c r="E214" i="8"/>
  <c r="Q214" i="8" s="1"/>
  <c r="F214" i="8"/>
  <c r="J214" i="8" s="1"/>
  <c r="X213" i="8"/>
  <c r="F218" i="8"/>
  <c r="J218" i="8" s="1"/>
  <c r="X217" i="8"/>
  <c r="E218" i="8"/>
  <c r="Q218" i="8" s="1"/>
  <c r="G218" i="8"/>
  <c r="G222" i="8"/>
  <c r="E222" i="8"/>
  <c r="Q222" i="8" s="1"/>
  <c r="X221" i="8"/>
  <c r="F222" i="8"/>
  <c r="AN64" i="8" s="1"/>
  <c r="F226" i="8"/>
  <c r="K226" i="8" s="1"/>
  <c r="X225" i="8"/>
  <c r="G226" i="8"/>
  <c r="E226" i="8"/>
  <c r="Q226" i="8" s="1"/>
  <c r="G230" i="8"/>
  <c r="E230" i="8"/>
  <c r="Q230" i="8" s="1"/>
  <c r="F230" i="8"/>
  <c r="J230" i="8" s="1"/>
  <c r="X229" i="8"/>
  <c r="F234" i="8"/>
  <c r="J234" i="8" s="1"/>
  <c r="X233" i="8"/>
  <c r="E234" i="8"/>
  <c r="Q234" i="8" s="1"/>
  <c r="G234" i="8"/>
  <c r="G238" i="8"/>
  <c r="E238" i="8"/>
  <c r="Q238" i="8" s="1"/>
  <c r="X237" i="8"/>
  <c r="F238" i="8"/>
  <c r="J238" i="8" s="1"/>
  <c r="F242" i="8"/>
  <c r="K242" i="8" s="1"/>
  <c r="X241" i="8"/>
  <c r="G242" i="8"/>
  <c r="E242" i="8"/>
  <c r="Q242" i="8" s="1"/>
  <c r="G246" i="8"/>
  <c r="E246" i="8"/>
  <c r="Q246" i="8" s="1"/>
  <c r="F246" i="8"/>
  <c r="AN88" i="8" s="1"/>
  <c r="X245" i="8"/>
  <c r="E195" i="8"/>
  <c r="AK120" i="8"/>
  <c r="AL97" i="8"/>
  <c r="AL96" i="8"/>
  <c r="AL53" i="8"/>
  <c r="AL85" i="8"/>
  <c r="AL70" i="8"/>
  <c r="AL56" i="8"/>
  <c r="AL59" i="8"/>
  <c r="AL91" i="8"/>
  <c r="AL52" i="8"/>
  <c r="AL89" i="8"/>
  <c r="AL42" i="8"/>
  <c r="AL74" i="8"/>
  <c r="AL63" i="8"/>
  <c r="AL95" i="8"/>
  <c r="AL57" i="8"/>
  <c r="AL72" i="8"/>
  <c r="AL64" i="8"/>
  <c r="AL61" i="8"/>
  <c r="AL93" i="8"/>
  <c r="AL78" i="8"/>
  <c r="AL67" i="8"/>
  <c r="AL48" i="8"/>
  <c r="AL81" i="8"/>
  <c r="AL34" i="8"/>
  <c r="AL55" i="8"/>
  <c r="AL80" i="8"/>
  <c r="AL65" i="8"/>
  <c r="AL92" i="8"/>
  <c r="AL50" i="8"/>
  <c r="AL82" i="8"/>
  <c r="AL71" i="8"/>
  <c r="AL88" i="8"/>
  <c r="AL69" i="8"/>
  <c r="AL44" i="8"/>
  <c r="AL54" i="8"/>
  <c r="AL86" i="8"/>
  <c r="AL43" i="8"/>
  <c r="AL75" i="8"/>
  <c r="AL49" i="8"/>
  <c r="AL76" i="8"/>
  <c r="AL73" i="8"/>
  <c r="AL60" i="8"/>
  <c r="AL58" i="8"/>
  <c r="AL90" i="8"/>
  <c r="AL47" i="8"/>
  <c r="AL79" i="8"/>
  <c r="AL45" i="8"/>
  <c r="AL77" i="8"/>
  <c r="AL68" i="8"/>
  <c r="AL62" i="8"/>
  <c r="AL94" i="8"/>
  <c r="AL51" i="8"/>
  <c r="AL83" i="8"/>
  <c r="AL84" i="8"/>
  <c r="AL66" i="8"/>
  <c r="AL87" i="8"/>
  <c r="G292" i="11" a="1"/>
  <c r="G292" i="11" s="1"/>
  <c r="D180" i="8"/>
  <c r="F52" i="8"/>
  <c r="F60" i="8"/>
  <c r="F68" i="8"/>
  <c r="F76" i="8"/>
  <c r="F84" i="8"/>
  <c r="F92" i="8"/>
  <c r="F53" i="8"/>
  <c r="F61" i="8"/>
  <c r="F69" i="8"/>
  <c r="F77" i="8"/>
  <c r="F85" i="8"/>
  <c r="F93" i="8"/>
  <c r="F54" i="8"/>
  <c r="F62" i="8"/>
  <c r="F70" i="8"/>
  <c r="F78" i="8"/>
  <c r="F86" i="8"/>
  <c r="F94" i="8"/>
  <c r="F55" i="8"/>
  <c r="F63" i="8"/>
  <c r="F71" i="8"/>
  <c r="F79" i="8"/>
  <c r="F87" i="8"/>
  <c r="F95" i="8"/>
  <c r="F48" i="8"/>
  <c r="F56" i="8"/>
  <c r="F64" i="8"/>
  <c r="F72" i="8"/>
  <c r="F80" i="8"/>
  <c r="F88" i="8"/>
  <c r="F96" i="8"/>
  <c r="F49" i="8"/>
  <c r="F57" i="8"/>
  <c r="F65" i="8"/>
  <c r="F73" i="8"/>
  <c r="F81" i="8"/>
  <c r="F89" i="8"/>
  <c r="F97" i="8"/>
  <c r="F50" i="8"/>
  <c r="F58" i="8"/>
  <c r="F66" i="8"/>
  <c r="F74" i="8"/>
  <c r="F82" i="8"/>
  <c r="F90" i="8"/>
  <c r="F51" i="8"/>
  <c r="F59" i="8"/>
  <c r="F67" i="8"/>
  <c r="F75" i="8"/>
  <c r="F83" i="8"/>
  <c r="F91" i="8"/>
  <c r="C35" i="8" a="1"/>
  <c r="C35" i="8" s="1"/>
  <c r="AN40" i="8"/>
  <c r="G190" i="8"/>
  <c r="B21" i="7"/>
  <c r="D21" i="7"/>
  <c r="Y97" i="8"/>
  <c r="C21" i="7"/>
  <c r="G191" i="8"/>
  <c r="G200" i="8" s="1"/>
  <c r="E21" i="7"/>
  <c r="D183" i="8"/>
  <c r="D22" i="7"/>
  <c r="E22" i="7"/>
  <c r="B22" i="7"/>
  <c r="F191" i="8"/>
  <c r="F205" i="8" s="1"/>
  <c r="J205" i="8" s="1"/>
  <c r="C22" i="7"/>
  <c r="L13" i="7" a="1"/>
  <c r="L13" i="7" s="1"/>
  <c r="L16" i="7" a="1"/>
  <c r="L16" i="7" s="1"/>
  <c r="D20" i="7"/>
  <c r="AQ34" i="8" a="1"/>
  <c r="AQ34" i="8" s="1"/>
  <c r="C20" i="7"/>
  <c r="E20" i="7"/>
  <c r="B20" i="7"/>
  <c r="AQ35" i="8" s="1" a="1"/>
  <c r="AQ35" i="8" s="1"/>
  <c r="N291" i="11"/>
  <c r="M288" i="11"/>
  <c r="AP44" i="11"/>
  <c r="BG291" i="11"/>
  <c r="AQ45" i="11"/>
  <c r="H293" i="11" a="1"/>
  <c r="H293" i="11" s="1"/>
  <c r="BG290" i="11"/>
  <c r="AP45" i="11"/>
  <c r="B293" i="11"/>
  <c r="O292" i="11"/>
  <c r="Q292" i="11" s="1"/>
  <c r="C47" i="11"/>
  <c r="B47" i="11"/>
  <c r="G293" i="11" a="1"/>
  <c r="G293" i="11" s="1"/>
  <c r="S189" i="8"/>
  <c r="D23" i="11"/>
  <c r="AH39" i="8"/>
  <c r="F197" i="8" l="1"/>
  <c r="J197" i="8" s="1"/>
  <c r="Q202" i="8"/>
  <c r="Q201" i="8"/>
  <c r="Q199" i="8"/>
  <c r="Q203" i="8"/>
  <c r="G205" i="8"/>
  <c r="S205" i="8" s="1" a="1"/>
  <c r="S205" i="8" s="1"/>
  <c r="T205" i="8" s="1"/>
  <c r="AO48" i="8" s="1"/>
  <c r="Q195" i="8"/>
  <c r="F200" i="8"/>
  <c r="K200" i="8" s="1"/>
  <c r="F199" i="8"/>
  <c r="K199" i="8" s="1"/>
  <c r="F196" i="8"/>
  <c r="K196" i="8" s="1"/>
  <c r="F194" i="8"/>
  <c r="J194" i="8" s="1"/>
  <c r="AN33" i="8"/>
  <c r="F195" i="8"/>
  <c r="J195" i="8" s="1"/>
  <c r="E100" i="11"/>
  <c r="J226" i="8"/>
  <c r="AN68" i="8"/>
  <c r="K207" i="8"/>
  <c r="E183" i="8"/>
  <c r="O182" i="8" s="1"/>
  <c r="J201" i="8"/>
  <c r="AN58" i="8"/>
  <c r="K209" i="8"/>
  <c r="C190" i="8"/>
  <c r="B191" i="8" s="1"/>
  <c r="K246" i="8"/>
  <c r="AN49" i="8"/>
  <c r="AN50" i="8"/>
  <c r="AN44" i="8"/>
  <c r="K208" i="8"/>
  <c r="AN57" i="8"/>
  <c r="AN56" i="8"/>
  <c r="AN75" i="8"/>
  <c r="K215" i="8"/>
  <c r="K204" i="8"/>
  <c r="AN53" i="8"/>
  <c r="K202" i="8"/>
  <c r="J204" i="8"/>
  <c r="K230" i="8"/>
  <c r="AN81" i="8"/>
  <c r="AN43" i="8"/>
  <c r="AN80" i="8"/>
  <c r="K214" i="8"/>
  <c r="AN78" i="8"/>
  <c r="AN65" i="8"/>
  <c r="AN61" i="8"/>
  <c r="AN86" i="8"/>
  <c r="J219" i="8"/>
  <c r="J209" i="8"/>
  <c r="AN71" i="8"/>
  <c r="K244" i="8"/>
  <c r="J236" i="8"/>
  <c r="K216" i="8"/>
  <c r="J229" i="8"/>
  <c r="J246" i="8"/>
  <c r="AN72" i="8"/>
  <c r="K252" i="8"/>
  <c r="J220" i="8"/>
  <c r="J193" i="8"/>
  <c r="AN62" i="8"/>
  <c r="K222" i="8"/>
  <c r="K233" i="8"/>
  <c r="AN89" i="8"/>
  <c r="AN55" i="8"/>
  <c r="K210" i="8"/>
  <c r="J223" i="8"/>
  <c r="K245" i="8"/>
  <c r="K213" i="8"/>
  <c r="AN92" i="8"/>
  <c r="K239" i="8"/>
  <c r="AN87" i="8"/>
  <c r="J210" i="8"/>
  <c r="K234" i="8"/>
  <c r="K253" i="8"/>
  <c r="J212" i="8"/>
  <c r="K212" i="8"/>
  <c r="AN76" i="8"/>
  <c r="K237" i="8"/>
  <c r="K241" i="8"/>
  <c r="AN79" i="8"/>
  <c r="AN94" i="8"/>
  <c r="AN82" i="8"/>
  <c r="J211" i="8"/>
  <c r="AN47" i="8"/>
  <c r="K249" i="8"/>
  <c r="F35" i="8"/>
  <c r="AB35" i="8" s="1"/>
  <c r="K238" i="8"/>
  <c r="K224" i="8"/>
  <c r="J241" i="8"/>
  <c r="J240" i="8"/>
  <c r="K205" i="8"/>
  <c r="J242" i="8"/>
  <c r="AN60" i="8"/>
  <c r="K193" i="8"/>
  <c r="AN45" i="8"/>
  <c r="AN73" i="8"/>
  <c r="J227" i="8"/>
  <c r="K203" i="8"/>
  <c r="K235" i="8"/>
  <c r="K247" i="8"/>
  <c r="AN84" i="8"/>
  <c r="AN67" i="8"/>
  <c r="J224" i="8"/>
  <c r="K251" i="8"/>
  <c r="AN91" i="8"/>
  <c r="K225" i="8"/>
  <c r="AN95" i="8"/>
  <c r="AN59" i="8"/>
  <c r="K250" i="8"/>
  <c r="J231" i="8"/>
  <c r="K227" i="8"/>
  <c r="AN93" i="8"/>
  <c r="K232" i="8"/>
  <c r="J222" i="8"/>
  <c r="K206" i="8"/>
  <c r="K243" i="8"/>
  <c r="AN77" i="8"/>
  <c r="J206" i="8"/>
  <c r="K221" i="8"/>
  <c r="AN85" i="8"/>
  <c r="J221" i="8"/>
  <c r="S229" i="8" a="1"/>
  <c r="S229" i="8" s="1"/>
  <c r="T229" i="8" s="1"/>
  <c r="AO72" i="8" s="1"/>
  <c r="K73" i="8"/>
  <c r="S207" i="8" a="1"/>
  <c r="S207" i="8" s="1"/>
  <c r="T207" i="8" s="1"/>
  <c r="AO50" i="8" s="1"/>
  <c r="K51" i="8"/>
  <c r="K87" i="8"/>
  <c r="S243" i="8" a="1"/>
  <c r="S243" i="8" s="1"/>
  <c r="T243" i="8" s="1"/>
  <c r="AO86" i="8" s="1"/>
  <c r="S248" i="8" a="1"/>
  <c r="S248" i="8" s="1"/>
  <c r="T248" i="8" s="1"/>
  <c r="AO91" i="8" s="1"/>
  <c r="K92" i="8"/>
  <c r="S213" i="8" a="1"/>
  <c r="S213" i="8" s="1"/>
  <c r="T213" i="8" s="1"/>
  <c r="AO56" i="8" s="1"/>
  <c r="K57" i="8"/>
  <c r="S192" i="8" a="1"/>
  <c r="S192" i="8" s="1"/>
  <c r="K36" i="8"/>
  <c r="J217" i="8"/>
  <c r="AN90" i="8"/>
  <c r="K191" i="8"/>
  <c r="I191" i="8" s="1" a="1"/>
  <c r="I191" i="8" s="1"/>
  <c r="AG191" i="8" s="1"/>
  <c r="J191" i="8"/>
  <c r="H191" i="8" s="1" a="1"/>
  <c r="H191" i="8" s="1"/>
  <c r="AF191" i="8" s="1"/>
  <c r="S202" i="8" a="1"/>
  <c r="S202" i="8" s="1"/>
  <c r="K46" i="8"/>
  <c r="S212" i="8" a="1"/>
  <c r="S212" i="8" s="1"/>
  <c r="T212" i="8" s="1"/>
  <c r="AO55" i="8" s="1"/>
  <c r="K56" i="8"/>
  <c r="S232" i="8" a="1"/>
  <c r="S232" i="8" s="1"/>
  <c r="T232" i="8" s="1"/>
  <c r="AO75" i="8" s="1"/>
  <c r="K76" i="8"/>
  <c r="S210" i="8" a="1"/>
  <c r="S210" i="8" s="1"/>
  <c r="T210" i="8" s="1"/>
  <c r="AO53" i="8" s="1"/>
  <c r="K54" i="8"/>
  <c r="K83" i="8"/>
  <c r="S239" i="8" a="1"/>
  <c r="S239" i="8" s="1"/>
  <c r="T239" i="8" s="1"/>
  <c r="AO82" i="8" s="1"/>
  <c r="S236" i="8" a="1"/>
  <c r="S236" i="8" s="1"/>
  <c r="T236" i="8" s="1"/>
  <c r="AO79" i="8" s="1"/>
  <c r="K80" i="8"/>
  <c r="K71" i="8"/>
  <c r="S227" i="8" a="1"/>
  <c r="S227" i="8" s="1"/>
  <c r="T227" i="8" s="1"/>
  <c r="AO70" i="8" s="1"/>
  <c r="K218" i="8"/>
  <c r="S203" i="8" a="1"/>
  <c r="S203" i="8" s="1"/>
  <c r="K47" i="8"/>
  <c r="S226" i="8" a="1"/>
  <c r="S226" i="8" s="1"/>
  <c r="T226" i="8" s="1"/>
  <c r="AO69" i="8" s="1"/>
  <c r="K70" i="8"/>
  <c r="K61" i="8"/>
  <c r="S217" i="8" a="1"/>
  <c r="S217" i="8" s="1"/>
  <c r="T217" i="8" s="1"/>
  <c r="AO60" i="8" s="1"/>
  <c r="K72" i="8"/>
  <c r="S228" i="8" a="1"/>
  <c r="S228" i="8" s="1"/>
  <c r="T228" i="8" s="1"/>
  <c r="AO71" i="8" s="1"/>
  <c r="S214" i="8" a="1"/>
  <c r="S214" i="8" s="1"/>
  <c r="T214" i="8" s="1"/>
  <c r="AO57" i="8" s="1"/>
  <c r="K58" i="8"/>
  <c r="S246" i="8" a="1"/>
  <c r="S246" i="8" s="1"/>
  <c r="T246" i="8" s="1"/>
  <c r="AO89" i="8" s="1"/>
  <c r="K90" i="8"/>
  <c r="S251" i="8" a="1"/>
  <c r="S251" i="8" s="1"/>
  <c r="T251" i="8" s="1"/>
  <c r="AO94" i="8" s="1"/>
  <c r="K95" i="8"/>
  <c r="K69" i="8"/>
  <c r="S225" i="8" a="1"/>
  <c r="S225" i="8" s="1"/>
  <c r="T225" i="8" s="1"/>
  <c r="AO68" i="8" s="1"/>
  <c r="S191" i="8" a="1"/>
  <c r="S191" i="8" s="1"/>
  <c r="K35" i="8"/>
  <c r="K82" i="8"/>
  <c r="S238" i="8" a="1"/>
  <c r="S238" i="8" s="1"/>
  <c r="T238" i="8" s="1"/>
  <c r="AO81" i="8" s="1"/>
  <c r="K55" i="8"/>
  <c r="S211" i="8" a="1"/>
  <c r="S211" i="8" s="1"/>
  <c r="T211" i="8" s="1"/>
  <c r="AO54" i="8" s="1"/>
  <c r="S240" i="8" a="1"/>
  <c r="S240" i="8" s="1"/>
  <c r="T240" i="8" s="1"/>
  <c r="AO83" i="8" s="1"/>
  <c r="K84" i="8"/>
  <c r="K65" i="8"/>
  <c r="S221" i="8" a="1"/>
  <c r="S221" i="8" s="1"/>
  <c r="T221" i="8" s="1"/>
  <c r="AO64" i="8" s="1"/>
  <c r="K64" i="8"/>
  <c r="S220" i="8" a="1"/>
  <c r="S220" i="8" s="1"/>
  <c r="T220" i="8" s="1"/>
  <c r="AO63" i="8" s="1"/>
  <c r="K66" i="8"/>
  <c r="S222" i="8" a="1"/>
  <c r="S222" i="8" s="1"/>
  <c r="T222" i="8" s="1"/>
  <c r="AO65" i="8" s="1"/>
  <c r="J198" i="8"/>
  <c r="K198" i="8"/>
  <c r="J228" i="8"/>
  <c r="K248" i="8"/>
  <c r="S253" i="8" a="1"/>
  <c r="S253" i="8" s="1"/>
  <c r="T253" i="8" s="1"/>
  <c r="K97" i="8"/>
  <c r="S218" i="8" a="1"/>
  <c r="S218" i="8" s="1"/>
  <c r="T218" i="8" s="1"/>
  <c r="AO61" i="8" s="1"/>
  <c r="K62" i="8"/>
  <c r="K75" i="8"/>
  <c r="S231" i="8" a="1"/>
  <c r="S231" i="8" s="1"/>
  <c r="T231" i="8" s="1"/>
  <c r="AO74" i="8" s="1"/>
  <c r="S224" i="8" a="1"/>
  <c r="S224" i="8" s="1"/>
  <c r="T224" i="8" s="1"/>
  <c r="AO67" i="8" s="1"/>
  <c r="K68" i="8"/>
  <c r="S209" i="8" a="1"/>
  <c r="S209" i="8" s="1"/>
  <c r="T209" i="8" s="1"/>
  <c r="AO52" i="8" s="1"/>
  <c r="K53" i="8"/>
  <c r="S249" i="8" a="1"/>
  <c r="S249" i="8" s="1"/>
  <c r="T249" i="8" s="1"/>
  <c r="AO92" i="8" s="1"/>
  <c r="K93" i="8"/>
  <c r="K77" i="8"/>
  <c r="S233" i="8" a="1"/>
  <c r="S233" i="8" s="1"/>
  <c r="T233" i="8" s="1"/>
  <c r="AO76" i="8" s="1"/>
  <c r="S216" i="8" a="1"/>
  <c r="S216" i="8" s="1"/>
  <c r="T216" i="8" s="1"/>
  <c r="AO59" i="8" s="1"/>
  <c r="K60" i="8"/>
  <c r="K228" i="8"/>
  <c r="S241" i="8" a="1"/>
  <c r="S241" i="8" s="1"/>
  <c r="T241" i="8" s="1"/>
  <c r="AO84" i="8" s="1"/>
  <c r="K85" i="8"/>
  <c r="S230" i="8" a="1"/>
  <c r="S230" i="8" s="1"/>
  <c r="T230" i="8" s="1"/>
  <c r="AO73" i="8" s="1"/>
  <c r="K74" i="8"/>
  <c r="S206" i="8" a="1"/>
  <c r="S206" i="8" s="1"/>
  <c r="T206" i="8" s="1"/>
  <c r="AO49" i="8" s="1"/>
  <c r="K50" i="8"/>
  <c r="S252" i="8" a="1"/>
  <c r="S252" i="8" s="1"/>
  <c r="T252" i="8" s="1"/>
  <c r="AO95" i="8" s="1"/>
  <c r="K96" i="8"/>
  <c r="S200" i="8" a="1"/>
  <c r="S200" i="8" s="1"/>
  <c r="T200" i="8" s="1"/>
  <c r="AO43" i="8" s="1"/>
  <c r="K44" i="8"/>
  <c r="S242" i="8" a="1"/>
  <c r="S242" i="8" s="1"/>
  <c r="T242" i="8" s="1"/>
  <c r="AO85" i="8" s="1"/>
  <c r="K86" i="8"/>
  <c r="S244" i="8" a="1"/>
  <c r="S244" i="8" s="1"/>
  <c r="T244" i="8" s="1"/>
  <c r="AO87" i="8" s="1"/>
  <c r="K88" i="8"/>
  <c r="K89" i="8"/>
  <c r="S245" i="8" a="1"/>
  <c r="S245" i="8" s="1"/>
  <c r="T245" i="8" s="1"/>
  <c r="AO88" i="8" s="1"/>
  <c r="S208" i="8" a="1"/>
  <c r="S208" i="8" s="1"/>
  <c r="T208" i="8" s="1"/>
  <c r="AO51" i="8" s="1"/>
  <c r="K52" i="8"/>
  <c r="K81" i="8"/>
  <c r="S237" i="8" a="1"/>
  <c r="S237" i="8" s="1"/>
  <c r="T237" i="8" s="1"/>
  <c r="AO80" i="8" s="1"/>
  <c r="K192" i="8"/>
  <c r="AN34" i="8"/>
  <c r="J192" i="8"/>
  <c r="S223" i="8" a="1"/>
  <c r="S223" i="8" s="1"/>
  <c r="T223" i="8" s="1"/>
  <c r="AO66" i="8" s="1"/>
  <c r="K67" i="8"/>
  <c r="AN74" i="8"/>
  <c r="K78" i="8"/>
  <c r="S234" i="8" a="1"/>
  <c r="S234" i="8" s="1"/>
  <c r="T234" i="8" s="1"/>
  <c r="AO77" i="8" s="1"/>
  <c r="S235" i="8" a="1"/>
  <c r="S235" i="8" s="1"/>
  <c r="T235" i="8" s="1"/>
  <c r="AO78" i="8" s="1"/>
  <c r="K79" i="8"/>
  <c r="K45" i="8"/>
  <c r="S201" i="8" a="1"/>
  <c r="S201" i="8" s="1"/>
  <c r="S250" i="8" a="1"/>
  <c r="S250" i="8" s="1"/>
  <c r="T250" i="8" s="1"/>
  <c r="AO93" i="8" s="1"/>
  <c r="K94" i="8"/>
  <c r="K91" i="8"/>
  <c r="S247" i="8" a="1"/>
  <c r="S247" i="8" s="1"/>
  <c r="T247" i="8" s="1"/>
  <c r="AO90" i="8" s="1"/>
  <c r="S219" i="8" a="1"/>
  <c r="S219" i="8" s="1"/>
  <c r="T219" i="8" s="1"/>
  <c r="AO62" i="8" s="1"/>
  <c r="K63" i="8"/>
  <c r="S215" i="8" a="1"/>
  <c r="S215" i="8" s="1"/>
  <c r="T215" i="8" s="1"/>
  <c r="AO58" i="8" s="1"/>
  <c r="K59" i="8"/>
  <c r="AD94" i="11"/>
  <c r="AD95" i="11"/>
  <c r="AD92" i="11"/>
  <c r="AD85" i="11"/>
  <c r="AD77" i="11"/>
  <c r="AD69" i="11"/>
  <c r="AD93" i="11"/>
  <c r="AD86" i="11"/>
  <c r="AD78" i="11"/>
  <c r="AD70" i="11"/>
  <c r="AD62" i="11"/>
  <c r="AD91" i="11"/>
  <c r="AD87" i="11"/>
  <c r="AD79" i="11"/>
  <c r="AD71" i="11"/>
  <c r="AD63" i="11"/>
  <c r="AD88" i="11"/>
  <c r="AD80" i="11"/>
  <c r="AD72" i="11"/>
  <c r="AD64" i="11"/>
  <c r="AD89" i="11"/>
  <c r="AD81" i="11"/>
  <c r="AD73" i="11"/>
  <c r="AD65" i="11"/>
  <c r="AD57" i="11"/>
  <c r="AD56" i="11"/>
  <c r="AD55" i="11"/>
  <c r="AD54" i="11"/>
  <c r="AD53" i="11"/>
  <c r="AD52" i="11"/>
  <c r="AD51" i="11"/>
  <c r="AD50" i="11"/>
  <c r="AD49" i="11"/>
  <c r="AD48" i="11"/>
  <c r="AD90" i="11"/>
  <c r="AD83" i="11"/>
  <c r="AD75" i="11"/>
  <c r="AD67" i="11"/>
  <c r="AD59" i="11"/>
  <c r="AD84" i="11"/>
  <c r="AD76" i="11"/>
  <c r="AD68" i="11"/>
  <c r="AD60" i="11"/>
  <c r="AD74" i="11"/>
  <c r="AD46" i="11"/>
  <c r="AD44" i="11"/>
  <c r="AD58" i="11"/>
  <c r="AD45" i="11"/>
  <c r="AD66" i="11"/>
  <c r="AD61" i="11"/>
  <c r="AD43" i="11"/>
  <c r="AD82" i="11"/>
  <c r="AD47" i="11"/>
  <c r="O293" i="11"/>
  <c r="Q293" i="11" s="1"/>
  <c r="B294" i="11"/>
  <c r="O294" i="11" s="1"/>
  <c r="AP46" i="11"/>
  <c r="G294" i="11" a="1"/>
  <c r="G294" i="11" s="1"/>
  <c r="B286" i="11"/>
  <c r="BG292" i="11"/>
  <c r="AQ46" i="11"/>
  <c r="H294" i="11" a="1"/>
  <c r="H294" i="11" s="1"/>
  <c r="C48" i="11"/>
  <c r="C49" i="11" s="1"/>
  <c r="C50" i="11" s="1"/>
  <c r="C51" i="11" s="1"/>
  <c r="C52" i="11" s="1"/>
  <c r="C53" i="11" s="1"/>
  <c r="C54" i="11" s="1"/>
  <c r="C55" i="11" s="1"/>
  <c r="C56" i="11" s="1"/>
  <c r="C57" i="11" s="1"/>
  <c r="C58" i="11" s="1"/>
  <c r="C59" i="11" s="1"/>
  <c r="C60" i="11" s="1"/>
  <c r="C61" i="11" s="1"/>
  <c r="C62" i="11" s="1"/>
  <c r="C63" i="11" s="1"/>
  <c r="C64" i="11" s="1"/>
  <c r="C65" i="11" s="1"/>
  <c r="C66" i="11" s="1"/>
  <c r="C67" i="11" s="1"/>
  <c r="C68" i="11" s="1"/>
  <c r="C69" i="11" s="1"/>
  <c r="C70" i="11" s="1"/>
  <c r="C71" i="11" s="1"/>
  <c r="C72" i="11" s="1"/>
  <c r="C73" i="11" s="1"/>
  <c r="C74" i="11" s="1"/>
  <c r="C75" i="11" s="1"/>
  <c r="C76" i="11" s="1"/>
  <c r="C77" i="11" s="1"/>
  <c r="C78" i="11" s="1"/>
  <c r="C79" i="11" s="1"/>
  <c r="C80" i="11" s="1"/>
  <c r="C81" i="11" s="1"/>
  <c r="C82" i="11" s="1"/>
  <c r="C83" i="11" s="1"/>
  <c r="C84" i="11" s="1"/>
  <c r="C85" i="11" s="1"/>
  <c r="C86" i="11" s="1"/>
  <c r="C87" i="11" s="1"/>
  <c r="C88" i="11" s="1"/>
  <c r="C89" i="11" s="1"/>
  <c r="C90" i="11" s="1"/>
  <c r="C91" i="11" s="1"/>
  <c r="C92" i="11" s="1"/>
  <c r="C93" i="11" s="1"/>
  <c r="C94" i="11" s="1"/>
  <c r="C95" i="11" s="1"/>
  <c r="C96" i="11" s="1"/>
  <c r="B115" i="11" s="1"/>
  <c r="B48" i="11"/>
  <c r="Q194" i="8"/>
  <c r="Q196" i="8"/>
  <c r="Q198" i="8"/>
  <c r="Q191" i="8"/>
  <c r="Q192" i="8"/>
  <c r="Q197" i="8"/>
  <c r="Q193" i="8"/>
  <c r="I106" i="11"/>
  <c r="BB294" i="11"/>
  <c r="F106" i="11"/>
  <c r="BB291" i="11"/>
  <c r="G107" i="11"/>
  <c r="I107" i="11" s="1"/>
  <c r="BB292" i="11"/>
  <c r="BB293" i="11"/>
  <c r="BB290" i="11"/>
  <c r="AH191" i="8" l="1"/>
  <c r="AI191" i="8" s="1"/>
  <c r="L191" i="8" s="1"/>
  <c r="K197" i="8"/>
  <c r="AN39" i="8"/>
  <c r="T202" i="8"/>
  <c r="AO45" i="8" s="1"/>
  <c r="T201" i="8"/>
  <c r="AO44" i="8" s="1"/>
  <c r="K49" i="8"/>
  <c r="T203" i="8"/>
  <c r="AO46" i="8" s="1"/>
  <c r="J199" i="8"/>
  <c r="AN41" i="8"/>
  <c r="J200" i="8"/>
  <c r="AN42" i="8"/>
  <c r="K194" i="8"/>
  <c r="AN38" i="8"/>
  <c r="AN36" i="8"/>
  <c r="J196" i="8"/>
  <c r="K195" i="8"/>
  <c r="I192" i="8" a="1"/>
  <c r="I192" i="8" s="1"/>
  <c r="I193" i="8" s="1" a="1"/>
  <c r="I193" i="8" s="1"/>
  <c r="AN37" i="8"/>
  <c r="H192" i="8" a="1"/>
  <c r="H192" i="8" s="1"/>
  <c r="C36" i="8"/>
  <c r="F36" i="8" s="1"/>
  <c r="AB36" i="8" s="1"/>
  <c r="T192" i="8"/>
  <c r="T191" i="8"/>
  <c r="AP47" i="11"/>
  <c r="G295" i="11" a="1"/>
  <c r="G295" i="11" s="1"/>
  <c r="AE44" i="11"/>
  <c r="AG44" i="11"/>
  <c r="AJ44" i="11" s="1"/>
  <c r="AG67" i="11"/>
  <c r="AJ67" i="11" s="1"/>
  <c r="AE67" i="11"/>
  <c r="AE52" i="11"/>
  <c r="AG52" i="11"/>
  <c r="AJ52" i="11" s="1"/>
  <c r="AG81" i="11"/>
  <c r="AJ81" i="11" s="1"/>
  <c r="AE81" i="11"/>
  <c r="AE79" i="11"/>
  <c r="AG79" i="11"/>
  <c r="AJ79" i="11" s="1"/>
  <c r="AE69" i="11"/>
  <c r="AG69" i="11"/>
  <c r="AJ69" i="11" s="1"/>
  <c r="B49" i="11"/>
  <c r="B50" i="11" s="1"/>
  <c r="B51" i="11" s="1"/>
  <c r="B52" i="11" s="1"/>
  <c r="B53" i="11" s="1"/>
  <c r="B54" i="11" s="1"/>
  <c r="B55" i="11" s="1"/>
  <c r="B56" i="11" s="1"/>
  <c r="B57" i="11" s="1"/>
  <c r="B58" i="11" s="1"/>
  <c r="B59" i="11" s="1"/>
  <c r="B60" i="11" s="1"/>
  <c r="B61" i="11" s="1"/>
  <c r="B62" i="11" s="1"/>
  <c r="B63" i="11" s="1"/>
  <c r="B64" i="11" s="1"/>
  <c r="B65" i="11" s="1"/>
  <c r="B66" i="11" s="1"/>
  <c r="B67" i="11" s="1"/>
  <c r="B68" i="11" s="1"/>
  <c r="B69" i="11" s="1"/>
  <c r="B70" i="11" s="1"/>
  <c r="B71" i="11" s="1"/>
  <c r="B72" i="11" s="1"/>
  <c r="B73" i="11" s="1"/>
  <c r="B74" i="11" s="1"/>
  <c r="B75" i="11" s="1"/>
  <c r="B76" i="11" s="1"/>
  <c r="B77" i="11" s="1"/>
  <c r="B78" i="11" s="1"/>
  <c r="B79" i="11" s="1"/>
  <c r="B80" i="11" s="1"/>
  <c r="B81" i="11" s="1"/>
  <c r="B82" i="11" s="1"/>
  <c r="B83" i="11" s="1"/>
  <c r="B84" i="11" s="1"/>
  <c r="B85" i="11" s="1"/>
  <c r="B86" i="11" s="1"/>
  <c r="B87" i="11" s="1"/>
  <c r="B88" i="11" s="1"/>
  <c r="B89" i="11" s="1"/>
  <c r="B90" i="11" s="1"/>
  <c r="B91" i="11" s="1"/>
  <c r="B92" i="11" s="1"/>
  <c r="B93" i="11" s="1"/>
  <c r="B94" i="11" s="1"/>
  <c r="B95" i="11" s="1"/>
  <c r="B96" i="11" s="1"/>
  <c r="O41" i="11" s="1"/>
  <c r="BG293" i="11"/>
  <c r="BG348" i="11" s="1"/>
  <c r="AG47" i="11"/>
  <c r="AJ47" i="11" s="1"/>
  <c r="AE47" i="11"/>
  <c r="AE46" i="11"/>
  <c r="AG46" i="11"/>
  <c r="AJ46" i="11" s="1"/>
  <c r="AG75" i="11"/>
  <c r="AJ75" i="11" s="1"/>
  <c r="AE75" i="11"/>
  <c r="AG53" i="11"/>
  <c r="AJ53" i="11" s="1"/>
  <c r="AE53" i="11"/>
  <c r="AG89" i="11"/>
  <c r="AJ89" i="11" s="1"/>
  <c r="AE89" i="11"/>
  <c r="AE87" i="11"/>
  <c r="AG87" i="11"/>
  <c r="AJ87" i="11" s="1"/>
  <c r="AE77" i="11"/>
  <c r="AG77" i="11"/>
  <c r="AJ77" i="11" s="1"/>
  <c r="AQ47" i="11"/>
  <c r="H295" i="11" a="1"/>
  <c r="H295" i="11" s="1"/>
  <c r="AE43" i="11"/>
  <c r="AG43" i="11"/>
  <c r="AJ43" i="11" s="1"/>
  <c r="AG60" i="11"/>
  <c r="AJ60" i="11" s="1"/>
  <c r="AE60" i="11"/>
  <c r="AG90" i="11"/>
  <c r="AJ90" i="11" s="1"/>
  <c r="AE90" i="11"/>
  <c r="AG55" i="11"/>
  <c r="AJ55" i="11" s="1"/>
  <c r="AE55" i="11"/>
  <c r="AG72" i="11"/>
  <c r="AJ72" i="11" s="1"/>
  <c r="AE72" i="11"/>
  <c r="AE62" i="11"/>
  <c r="AG62" i="11"/>
  <c r="AJ62" i="11" s="1"/>
  <c r="AG92" i="11"/>
  <c r="AJ92" i="11" s="1"/>
  <c r="AE92" i="11"/>
  <c r="AG82" i="11"/>
  <c r="AJ82" i="11" s="1"/>
  <c r="AE82" i="11"/>
  <c r="AG83" i="11"/>
  <c r="AJ83" i="11" s="1"/>
  <c r="AE83" i="11"/>
  <c r="AG54" i="11"/>
  <c r="AJ54" i="11" s="1"/>
  <c r="AE54" i="11"/>
  <c r="AG64" i="11"/>
  <c r="AJ64" i="11" s="1"/>
  <c r="AE64" i="11"/>
  <c r="AE91" i="11"/>
  <c r="AG91" i="11"/>
  <c r="AJ91" i="11" s="1"/>
  <c r="AE85" i="11"/>
  <c r="AG85" i="11"/>
  <c r="AJ85" i="11" s="1"/>
  <c r="AE61" i="11"/>
  <c r="AG61" i="11"/>
  <c r="AJ61" i="11" s="1"/>
  <c r="AG68" i="11"/>
  <c r="AJ68" i="11" s="1"/>
  <c r="AE68" i="11"/>
  <c r="AG48" i="11"/>
  <c r="AJ48" i="11" s="1"/>
  <c r="AE48" i="11"/>
  <c r="AG56" i="11"/>
  <c r="AJ56" i="11" s="1"/>
  <c r="AE56" i="11"/>
  <c r="AG80" i="11"/>
  <c r="AJ80" i="11" s="1"/>
  <c r="AE80" i="11"/>
  <c r="AE70" i="11"/>
  <c r="AG70" i="11"/>
  <c r="AJ70" i="11" s="1"/>
  <c r="AG95" i="11"/>
  <c r="AJ95" i="11" s="1"/>
  <c r="AE95" i="11"/>
  <c r="S351" i="11" a="1"/>
  <c r="S351" i="11" s="1"/>
  <c r="Q294" i="11"/>
  <c r="O295" i="11"/>
  <c r="AG66" i="11"/>
  <c r="AJ66" i="11" s="1"/>
  <c r="AE66" i="11"/>
  <c r="AG76" i="11"/>
  <c r="AJ76" i="11" s="1"/>
  <c r="AE76" i="11"/>
  <c r="AG49" i="11"/>
  <c r="AJ49" i="11" s="1"/>
  <c r="AE49" i="11"/>
  <c r="AG57" i="11"/>
  <c r="AJ57" i="11" s="1"/>
  <c r="AE57" i="11"/>
  <c r="AG88" i="11"/>
  <c r="AJ88" i="11" s="1"/>
  <c r="AE88" i="11"/>
  <c r="AE78" i="11"/>
  <c r="AG78" i="11"/>
  <c r="AJ78" i="11" s="1"/>
  <c r="AG94" i="11"/>
  <c r="AJ94" i="11" s="1"/>
  <c r="AE94" i="11"/>
  <c r="AG45" i="11"/>
  <c r="AJ45" i="11" s="1"/>
  <c r="AE45" i="11"/>
  <c r="AG84" i="11"/>
  <c r="AJ84" i="11" s="1"/>
  <c r="AE84" i="11"/>
  <c r="AE50" i="11"/>
  <c r="AG50" i="11"/>
  <c r="AJ50" i="11" s="1"/>
  <c r="AG65" i="11"/>
  <c r="AJ65" i="11" s="1"/>
  <c r="AE65" i="11"/>
  <c r="AE63" i="11"/>
  <c r="AG63" i="11"/>
  <c r="AJ63" i="11" s="1"/>
  <c r="AE86" i="11"/>
  <c r="AG86" i="11"/>
  <c r="AJ86" i="11" s="1"/>
  <c r="AG74" i="11"/>
  <c r="AJ74" i="11" s="1"/>
  <c r="AE74" i="11"/>
  <c r="AG58" i="11"/>
  <c r="AJ58" i="11" s="1"/>
  <c r="AE58" i="11"/>
  <c r="AG59" i="11"/>
  <c r="AJ59" i="11" s="1"/>
  <c r="AE59" i="11"/>
  <c r="AG51" i="11"/>
  <c r="AJ51" i="11" s="1"/>
  <c r="AE51" i="11"/>
  <c r="AG73" i="11"/>
  <c r="AJ73" i="11" s="1"/>
  <c r="AE73" i="11"/>
  <c r="AE71" i="11"/>
  <c r="AG71" i="11"/>
  <c r="AJ71" i="11" s="1"/>
  <c r="AE93" i="11"/>
  <c r="AG93" i="11"/>
  <c r="AJ93" i="11" s="1"/>
  <c r="BC293" i="11"/>
  <c r="BD293" i="11"/>
  <c r="BC290" i="11"/>
  <c r="BD290" i="11"/>
  <c r="BC291" i="11"/>
  <c r="BD291" i="11"/>
  <c r="BD292" i="11"/>
  <c r="BC292" i="11"/>
  <c r="BE294" i="11"/>
  <c r="BD294" i="11"/>
  <c r="BC294" i="11"/>
  <c r="I194" i="8" l="1" a="1"/>
  <c r="I194" i="8" s="1"/>
  <c r="I195" i="8" s="1" a="1"/>
  <c r="I195" i="8" s="1"/>
  <c r="I196" i="8" s="1" a="1"/>
  <c r="I196" i="8" s="1"/>
  <c r="I197" i="8" s="1" a="1"/>
  <c r="I197" i="8" s="1"/>
  <c r="I198" i="8" s="1" a="1"/>
  <c r="I198" i="8" s="1"/>
  <c r="I199" i="8" s="1" a="1"/>
  <c r="I199" i="8" s="1"/>
  <c r="I200" i="8" s="1" a="1"/>
  <c r="I200" i="8" s="1"/>
  <c r="I201" i="8" s="1" a="1"/>
  <c r="I201" i="8" s="1"/>
  <c r="I202" i="8" s="1" a="1"/>
  <c r="I202" i="8" s="1"/>
  <c r="I203" i="8" s="1" a="1"/>
  <c r="I203" i="8" s="1"/>
  <c r="I204" i="8" s="1" a="1"/>
  <c r="I204" i="8" s="1"/>
  <c r="I205" i="8" s="1" a="1"/>
  <c r="I205" i="8" s="1"/>
  <c r="I206" i="8" s="1" a="1"/>
  <c r="I206" i="8" s="1"/>
  <c r="I207" i="8" s="1" a="1"/>
  <c r="I207" i="8" s="1"/>
  <c r="I208" i="8" s="1" a="1"/>
  <c r="I208" i="8" s="1"/>
  <c r="I209" i="8" s="1" a="1"/>
  <c r="I209" i="8" s="1"/>
  <c r="I210" i="8" s="1" a="1"/>
  <c r="I210" i="8" s="1"/>
  <c r="I211" i="8" s="1" a="1"/>
  <c r="I211" i="8" s="1"/>
  <c r="I212" i="8" s="1" a="1"/>
  <c r="I212" i="8" s="1"/>
  <c r="I213" i="8" s="1" a="1"/>
  <c r="I213" i="8" s="1"/>
  <c r="I214" i="8" s="1" a="1"/>
  <c r="I214" i="8" s="1"/>
  <c r="I215" i="8" s="1" a="1"/>
  <c r="I215" i="8" s="1"/>
  <c r="I216" i="8" s="1" a="1"/>
  <c r="I216" i="8" s="1"/>
  <c r="I217" i="8" s="1" a="1"/>
  <c r="I217" i="8" s="1"/>
  <c r="I218" i="8" s="1" a="1"/>
  <c r="I218" i="8" s="1"/>
  <c r="I219" i="8" s="1" a="1"/>
  <c r="I219" i="8" s="1"/>
  <c r="I220" i="8" s="1" a="1"/>
  <c r="I220" i="8" s="1"/>
  <c r="I221" i="8" s="1" a="1"/>
  <c r="I221" i="8" s="1"/>
  <c r="I222" i="8" s="1" a="1"/>
  <c r="I222" i="8" s="1"/>
  <c r="I223" i="8" s="1" a="1"/>
  <c r="I223" i="8" s="1"/>
  <c r="I224" i="8" s="1" a="1"/>
  <c r="I224" i="8" s="1"/>
  <c r="I225" i="8" s="1" a="1"/>
  <c r="I225" i="8" s="1"/>
  <c r="I226" i="8" s="1" a="1"/>
  <c r="I226" i="8" s="1"/>
  <c r="I227" i="8" s="1" a="1"/>
  <c r="I227" i="8" s="1"/>
  <c r="I228" i="8" s="1" a="1"/>
  <c r="I228" i="8" s="1"/>
  <c r="I229" i="8" s="1" a="1"/>
  <c r="I229" i="8" s="1"/>
  <c r="I230" i="8" s="1" a="1"/>
  <c r="I230" i="8" s="1"/>
  <c r="I231" i="8" s="1" a="1"/>
  <c r="I231" i="8" s="1"/>
  <c r="I232" i="8" s="1" a="1"/>
  <c r="I232" i="8" s="1"/>
  <c r="I233" i="8" s="1" a="1"/>
  <c r="I233" i="8" s="1"/>
  <c r="I234" i="8" s="1" a="1"/>
  <c r="I234" i="8" s="1"/>
  <c r="I235" i="8" s="1" a="1"/>
  <c r="I235" i="8" s="1"/>
  <c r="I236" i="8" s="1" a="1"/>
  <c r="I236" i="8" s="1"/>
  <c r="I237" i="8" s="1" a="1"/>
  <c r="I237" i="8" s="1"/>
  <c r="I238" i="8" s="1" a="1"/>
  <c r="I238" i="8" s="1"/>
  <c r="I239" i="8" s="1" a="1"/>
  <c r="I239" i="8" s="1"/>
  <c r="I240" i="8" s="1" a="1"/>
  <c r="I240" i="8" s="1"/>
  <c r="I241" i="8" s="1" a="1"/>
  <c r="I241" i="8" s="1"/>
  <c r="I242" i="8" s="1" a="1"/>
  <c r="I242" i="8" s="1"/>
  <c r="I243" i="8" s="1" a="1"/>
  <c r="I243" i="8" s="1"/>
  <c r="I244" i="8" s="1" a="1"/>
  <c r="I244" i="8" s="1"/>
  <c r="I245" i="8" s="1" a="1"/>
  <c r="I245" i="8" s="1"/>
  <c r="I246" i="8" s="1" a="1"/>
  <c r="I246" i="8" s="1"/>
  <c r="I247" i="8" s="1" a="1"/>
  <c r="I247" i="8" s="1"/>
  <c r="I248" i="8" s="1" a="1"/>
  <c r="I248" i="8" s="1"/>
  <c r="I249" i="8" s="1" a="1"/>
  <c r="I249" i="8" s="1"/>
  <c r="I250" i="8" s="1" a="1"/>
  <c r="I250" i="8" s="1"/>
  <c r="I251" i="8" s="1" a="1"/>
  <c r="I251" i="8" s="1"/>
  <c r="I252" i="8" s="1" a="1"/>
  <c r="I252" i="8" s="1"/>
  <c r="I253" i="8" s="1" a="1"/>
  <c r="I253" i="8" s="1"/>
  <c r="H193" i="8" a="1"/>
  <c r="H193" i="8" s="1"/>
  <c r="H194" i="8" s="1" a="1"/>
  <c r="H194" i="8" s="1"/>
  <c r="AF192" i="8"/>
  <c r="AG193" i="8"/>
  <c r="AG192" i="8"/>
  <c r="M185" i="8"/>
  <c r="C191" i="8"/>
  <c r="AO34" i="8"/>
  <c r="AO35" i="8"/>
  <c r="W191" i="8"/>
  <c r="M191" i="8"/>
  <c r="AM34" i="8" s="1"/>
  <c r="Q295" i="11"/>
  <c r="O296" i="11"/>
  <c r="AL48" i="11"/>
  <c r="AN48" i="11" s="1"/>
  <c r="AM48" i="11"/>
  <c r="AL43" i="11"/>
  <c r="AN43" i="11" s="1"/>
  <c r="AM43" i="11"/>
  <c r="AL46" i="11"/>
  <c r="AM46" i="11"/>
  <c r="AL44" i="11"/>
  <c r="AN44" i="11" s="1"/>
  <c r="AM44" i="11"/>
  <c r="AL47" i="11"/>
  <c r="AN47" i="11" s="1"/>
  <c r="AM47" i="11"/>
  <c r="AQ48" i="11"/>
  <c r="H296" i="11" a="1"/>
  <c r="H296" i="11" s="1"/>
  <c r="AP48" i="11"/>
  <c r="G296" i="11" a="1"/>
  <c r="G296" i="11" s="1"/>
  <c r="AL49" i="11" s="1"/>
  <c r="AL45" i="11"/>
  <c r="AM45" i="11"/>
  <c r="C37" i="8"/>
  <c r="F37" i="8" s="1"/>
  <c r="BE290" i="11"/>
  <c r="BH290" i="11" s="1"/>
  <c r="BE292" i="11"/>
  <c r="BH292" i="11" s="1"/>
  <c r="BI292" i="11" s="1"/>
  <c r="BE291" i="11"/>
  <c r="BH291" i="11" s="1"/>
  <c r="BI291" i="11" s="1"/>
  <c r="BE293" i="11"/>
  <c r="BH293" i="11" s="1"/>
  <c r="BJ293" i="11" s="1"/>
  <c r="AH192" i="8" l="1"/>
  <c r="AI192" i="8" s="1"/>
  <c r="L192" i="8" s="1"/>
  <c r="H195" i="8" a="1"/>
  <c r="H195" i="8" s="1"/>
  <c r="H196" i="8" s="1" a="1"/>
  <c r="H196" i="8" s="1"/>
  <c r="H197" i="8" s="1" a="1"/>
  <c r="H197" i="8" s="1"/>
  <c r="G194" i="8"/>
  <c r="G193" i="8"/>
  <c r="S193" i="8" s="1" a="1"/>
  <c r="S193" i="8" s="1"/>
  <c r="T193" i="8" s="1"/>
  <c r="AO36" i="8" s="1"/>
  <c r="G195" i="8"/>
  <c r="B192" i="8" a="1"/>
  <c r="B192" i="8" s="1"/>
  <c r="U191" i="8"/>
  <c r="L35" i="8" s="1"/>
  <c r="AG194" i="8"/>
  <c r="AF193" i="8"/>
  <c r="AH193" i="8" s="1"/>
  <c r="AN46" i="11"/>
  <c r="AN45" i="11"/>
  <c r="W192" i="8"/>
  <c r="N191" i="8"/>
  <c r="O191" i="8"/>
  <c r="C192" i="8"/>
  <c r="AP49" i="11"/>
  <c r="G297" i="11" a="1"/>
  <c r="G297" i="11" s="1"/>
  <c r="AM49" i="11"/>
  <c r="AN49" i="11" s="1"/>
  <c r="Q296" i="11"/>
  <c r="O297" i="11"/>
  <c r="AQ49" i="11"/>
  <c r="H297" i="11" a="1"/>
  <c r="H297" i="11" s="1"/>
  <c r="BE348" i="11"/>
  <c r="BJ291" i="11"/>
  <c r="BJ292" i="11"/>
  <c r="BI293" i="11"/>
  <c r="BH348" i="11"/>
  <c r="BJ290" i="11"/>
  <c r="BI290" i="11"/>
  <c r="AB37" i="8"/>
  <c r="C38" i="8"/>
  <c r="F38" i="8" s="1"/>
  <c r="G196" i="8" l="1"/>
  <c r="AI193" i="8"/>
  <c r="L193" i="8" s="1"/>
  <c r="H198" i="8" a="1"/>
  <c r="H198" i="8" s="1"/>
  <c r="G198" i="8" s="1"/>
  <c r="G197" i="8"/>
  <c r="B193" i="8" a="1"/>
  <c r="B193" i="8" s="1"/>
  <c r="U192" i="8"/>
  <c r="L36" i="8" s="1"/>
  <c r="AG195" i="8"/>
  <c r="K37" i="8"/>
  <c r="S194" i="8" a="1"/>
  <c r="S194" i="8" s="1"/>
  <c r="T194" i="8" s="1"/>
  <c r="AO37" i="8" s="1"/>
  <c r="AF194" i="8"/>
  <c r="AH194" i="8" s="1"/>
  <c r="AQ36" i="8" a="1"/>
  <c r="AQ36" i="8" s="1"/>
  <c r="K38" i="8"/>
  <c r="W193" i="8"/>
  <c r="P191" i="8"/>
  <c r="AQ50" i="11"/>
  <c r="H298" i="11" a="1"/>
  <c r="H298" i="11" s="1"/>
  <c r="AP50" i="11"/>
  <c r="G298" i="11" a="1"/>
  <c r="G298" i="11" s="1"/>
  <c r="AL50" i="11"/>
  <c r="AM50" i="11"/>
  <c r="Q297" i="11"/>
  <c r="O298" i="11"/>
  <c r="Z250" i="8"/>
  <c r="Y250" i="8"/>
  <c r="AA250" i="8" s="1"/>
  <c r="Z206" i="8"/>
  <c r="Y206" i="8"/>
  <c r="AA206" i="8" s="1"/>
  <c r="Z217" i="8"/>
  <c r="Y217" i="8"/>
  <c r="AA217" i="8" s="1"/>
  <c r="Y229" i="8"/>
  <c r="Z229" i="8"/>
  <c r="Z220" i="8"/>
  <c r="Y220" i="8"/>
  <c r="AA220" i="8" s="1"/>
  <c r="Y236" i="8"/>
  <c r="Z236" i="8"/>
  <c r="Z216" i="8"/>
  <c r="Y216" i="8"/>
  <c r="AA216" i="8" s="1"/>
  <c r="Z233" i="8"/>
  <c r="Y233" i="8"/>
  <c r="AA233" i="8" s="1"/>
  <c r="Y242" i="8"/>
  <c r="Z242" i="8"/>
  <c r="Y246" i="8"/>
  <c r="Z246" i="8"/>
  <c r="Z215" i="8"/>
  <c r="Y215" i="8"/>
  <c r="AA215" i="8" s="1"/>
  <c r="Y240" i="8"/>
  <c r="Z240" i="8"/>
  <c r="Z252" i="8"/>
  <c r="Y252" i="8"/>
  <c r="AA252" i="8" s="1"/>
  <c r="Z219" i="8"/>
  <c r="Y219" i="8"/>
  <c r="AA219" i="8" s="1"/>
  <c r="AA253" i="8"/>
  <c r="Y253" i="8"/>
  <c r="Z253" i="8"/>
  <c r="Y239" i="8"/>
  <c r="AA239" i="8" s="1"/>
  <c r="Z239" i="8"/>
  <c r="Z225" i="8"/>
  <c r="Y225" i="8"/>
  <c r="Y224" i="8"/>
  <c r="Z224" i="8"/>
  <c r="Y243" i="8"/>
  <c r="AA243" i="8" s="1"/>
  <c r="Z243" i="8"/>
  <c r="Y248" i="8"/>
  <c r="AA248" i="8" s="1"/>
  <c r="Z248" i="8"/>
  <c r="Y235" i="8"/>
  <c r="AA235" i="8" s="1"/>
  <c r="Z235" i="8"/>
  <c r="Y244" i="8"/>
  <c r="Z244" i="8"/>
  <c r="Z212" i="8"/>
  <c r="Y212" i="8"/>
  <c r="Y234" i="8"/>
  <c r="AA234" i="8" s="1"/>
  <c r="Z234" i="8"/>
  <c r="Z213" i="8"/>
  <c r="Y213" i="8"/>
  <c r="Y210" i="8"/>
  <c r="AA210" i="8" s="1"/>
  <c r="Z210" i="8"/>
  <c r="Y205" i="8"/>
  <c r="Z205" i="8"/>
  <c r="Y230" i="8"/>
  <c r="AA230" i="8" s="1"/>
  <c r="Z230" i="8"/>
  <c r="Y247" i="8"/>
  <c r="AA247" i="8" s="1"/>
  <c r="Z247" i="8"/>
  <c r="Z214" i="8"/>
  <c r="Y214" i="8"/>
  <c r="Y237" i="8"/>
  <c r="Z237" i="8"/>
  <c r="Y245" i="8"/>
  <c r="AA245" i="8" s="1"/>
  <c r="Z245" i="8"/>
  <c r="Z228" i="8"/>
  <c r="Y228" i="8"/>
  <c r="Z249" i="8"/>
  <c r="Y249" i="8"/>
  <c r="Z251" i="8"/>
  <c r="Y251" i="8"/>
  <c r="Y231" i="8"/>
  <c r="AA231" i="8" s="1"/>
  <c r="Z231" i="8"/>
  <c r="Y238" i="8"/>
  <c r="AA238" i="8" s="1"/>
  <c r="Z238" i="8"/>
  <c r="Z227" i="8"/>
  <c r="Y227" i="8"/>
  <c r="AA227" i="8" s="1"/>
  <c r="Y226" i="8"/>
  <c r="Z226" i="8"/>
  <c r="Z207" i="8"/>
  <c r="Y207" i="8"/>
  <c r="Z222" i="8"/>
  <c r="Y222" i="8"/>
  <c r="AA222" i="8" s="1"/>
  <c r="Y211" i="8"/>
  <c r="Z211" i="8"/>
  <c r="Z241" i="8"/>
  <c r="Y241" i="8"/>
  <c r="Y221" i="8"/>
  <c r="Z221" i="8"/>
  <c r="Z223" i="8"/>
  <c r="Y223" i="8"/>
  <c r="AA223" i="8" s="1"/>
  <c r="Y218" i="8"/>
  <c r="Z218" i="8"/>
  <c r="Z209" i="8"/>
  <c r="Y209" i="8"/>
  <c r="Y208" i="8"/>
  <c r="Z208" i="8"/>
  <c r="Z232" i="8"/>
  <c r="Y232" i="8"/>
  <c r="AA232" i="8" s="1"/>
  <c r="J106" i="11"/>
  <c r="K106" i="11"/>
  <c r="L106" i="11"/>
  <c r="F111" i="11" s="1"/>
  <c r="AB38" i="8"/>
  <c r="C193" i="8"/>
  <c r="B194" i="8" s="1" a="1"/>
  <c r="B194" i="8" s="1"/>
  <c r="AI194" i="8" l="1"/>
  <c r="L194" i="8" s="1"/>
  <c r="S198" i="8" a="1"/>
  <c r="S198" i="8" s="1"/>
  <c r="T198" i="8" s="1"/>
  <c r="AO41" i="8" s="1"/>
  <c r="K42" i="8"/>
  <c r="M192" i="8"/>
  <c r="AM35" i="8" s="1"/>
  <c r="H199" i="8" a="1"/>
  <c r="H199" i="8" s="1"/>
  <c r="M186" i="8"/>
  <c r="U193" i="8"/>
  <c r="L37" i="8" s="1"/>
  <c r="AF195" i="8"/>
  <c r="AH195" i="8" s="1"/>
  <c r="K39" i="8"/>
  <c r="S195" i="8" a="1"/>
  <c r="S195" i="8" s="1"/>
  <c r="T195" i="8" s="1"/>
  <c r="AO38" i="8" s="1"/>
  <c r="W194" i="8"/>
  <c r="Q298" i="11"/>
  <c r="O299" i="11"/>
  <c r="AN50" i="11"/>
  <c r="AP51" i="11"/>
  <c r="G299" i="11" a="1"/>
  <c r="G299" i="11" s="1"/>
  <c r="AL51" i="11"/>
  <c r="AM51" i="11"/>
  <c r="AQ51" i="11"/>
  <c r="H299" i="11" a="1"/>
  <c r="H299" i="11" s="1"/>
  <c r="AA237" i="8"/>
  <c r="AC237" i="8" s="1"/>
  <c r="AA224" i="8"/>
  <c r="AC224" i="8" s="1"/>
  <c r="AA205" i="8"/>
  <c r="AB205" i="8" s="1"/>
  <c r="AA244" i="8"/>
  <c r="AC244" i="8" s="1"/>
  <c r="AA209" i="8"/>
  <c r="AB209" i="8" s="1"/>
  <c r="AA241" i="8"/>
  <c r="AB241" i="8" s="1"/>
  <c r="AA207" i="8"/>
  <c r="AB207" i="8" s="1"/>
  <c r="AB227" i="8"/>
  <c r="AC227" i="8"/>
  <c r="AC243" i="8"/>
  <c r="AB243" i="8"/>
  <c r="AC233" i="8"/>
  <c r="AB233" i="8"/>
  <c r="AA251" i="8"/>
  <c r="AB253" i="8"/>
  <c r="AC253" i="8"/>
  <c r="AA240" i="8"/>
  <c r="AA229" i="8"/>
  <c r="AC230" i="8"/>
  <c r="AB230" i="8"/>
  <c r="AC217" i="8"/>
  <c r="AB217" i="8"/>
  <c r="AA208" i="8"/>
  <c r="AA221" i="8"/>
  <c r="AA249" i="8"/>
  <c r="AA214" i="8"/>
  <c r="AA225" i="8"/>
  <c r="AB210" i="8"/>
  <c r="AC210" i="8"/>
  <c r="AB234" i="8"/>
  <c r="AC234" i="8"/>
  <c r="AC235" i="8"/>
  <c r="AB235" i="8"/>
  <c r="AB219" i="8"/>
  <c r="AC219" i="8"/>
  <c r="AB206" i="8"/>
  <c r="AC206" i="8"/>
  <c r="AB232" i="8"/>
  <c r="AC232" i="8"/>
  <c r="AB245" i="8"/>
  <c r="AC245" i="8"/>
  <c r="AC215" i="8"/>
  <c r="AB215" i="8"/>
  <c r="AA228" i="8"/>
  <c r="AA212" i="8"/>
  <c r="AA246" i="8"/>
  <c r="AA236" i="8"/>
  <c r="AC222" i="8"/>
  <c r="AB222" i="8"/>
  <c r="AB238" i="8"/>
  <c r="AC238" i="8"/>
  <c r="AB247" i="8"/>
  <c r="AC247" i="8"/>
  <c r="AB248" i="8"/>
  <c r="AC248" i="8"/>
  <c r="AC239" i="8"/>
  <c r="AB239" i="8"/>
  <c r="AB252" i="8"/>
  <c r="AC252" i="8"/>
  <c r="AC220" i="8"/>
  <c r="AB220" i="8"/>
  <c r="AB250" i="8"/>
  <c r="AC250" i="8"/>
  <c r="AC223" i="8"/>
  <c r="AB223" i="8"/>
  <c r="AB231" i="8"/>
  <c r="AC231" i="8"/>
  <c r="AC216" i="8"/>
  <c r="AB216" i="8"/>
  <c r="AA218" i="8"/>
  <c r="AA211" i="8"/>
  <c r="AA226" i="8"/>
  <c r="AA213" i="8"/>
  <c r="AA242" i="8"/>
  <c r="C39" i="8"/>
  <c r="AI195" i="8" l="1"/>
  <c r="L195" i="8" s="1"/>
  <c r="M193" i="8"/>
  <c r="O193" i="8" s="1"/>
  <c r="M194" i="8"/>
  <c r="G199" i="8"/>
  <c r="AL35" i="8"/>
  <c r="O192" i="8"/>
  <c r="N192" i="8"/>
  <c r="H200" i="8" a="1"/>
  <c r="H200" i="8" s="1"/>
  <c r="AG196" i="8"/>
  <c r="S196" i="8" a="1"/>
  <c r="S196" i="8" s="1"/>
  <c r="T196" i="8" s="1"/>
  <c r="AO39" i="8" s="1"/>
  <c r="AF196" i="8"/>
  <c r="AG197" i="8"/>
  <c r="AQ37" i="8" a="1"/>
  <c r="AQ37" i="8" s="1"/>
  <c r="AN51" i="11"/>
  <c r="C194" i="8"/>
  <c r="F39" i="8"/>
  <c r="AB39" i="8" s="1"/>
  <c r="W195" i="8"/>
  <c r="AP52" i="11"/>
  <c r="G300" i="11" a="1"/>
  <c r="G300" i="11" s="1"/>
  <c r="AL52" i="11"/>
  <c r="AM52" i="11"/>
  <c r="Q299" i="11"/>
  <c r="O300" i="11"/>
  <c r="AQ52" i="11"/>
  <c r="H300" i="11" a="1"/>
  <c r="H300" i="11" s="1"/>
  <c r="AB224" i="8"/>
  <c r="AB237" i="8"/>
  <c r="AC207" i="8"/>
  <c r="AB244" i="8"/>
  <c r="AC209" i="8"/>
  <c r="AC205" i="8"/>
  <c r="AC241" i="8"/>
  <c r="AC213" i="8"/>
  <c r="AB213" i="8"/>
  <c r="AB226" i="8"/>
  <c r="AC226" i="8"/>
  <c r="AC249" i="8"/>
  <c r="AB249" i="8"/>
  <c r="AB212" i="8"/>
  <c r="AC212" i="8"/>
  <c r="AC228" i="8"/>
  <c r="AB228" i="8"/>
  <c r="AB218" i="8"/>
  <c r="AC218" i="8"/>
  <c r="AC221" i="8"/>
  <c r="AB221" i="8"/>
  <c r="AB229" i="8"/>
  <c r="AC229" i="8"/>
  <c r="AB211" i="8"/>
  <c r="AC211" i="8"/>
  <c r="AB208" i="8"/>
  <c r="AC208" i="8"/>
  <c r="AC240" i="8"/>
  <c r="AB240" i="8"/>
  <c r="AC214" i="8"/>
  <c r="AB214" i="8"/>
  <c r="AB242" i="8"/>
  <c r="AC242" i="8"/>
  <c r="AB236" i="8"/>
  <c r="AC236" i="8"/>
  <c r="AB246" i="8"/>
  <c r="AC246" i="8"/>
  <c r="AB225" i="8"/>
  <c r="AC225" i="8"/>
  <c r="AC251" i="8"/>
  <c r="AB251" i="8"/>
  <c r="AH196" i="8" l="1"/>
  <c r="AI196" i="8" s="1"/>
  <c r="L196" i="8" s="1"/>
  <c r="AM36" i="8"/>
  <c r="AQ38" i="8" s="1" a="1"/>
  <c r="AQ38" i="8" s="1"/>
  <c r="AL36" i="8"/>
  <c r="N193" i="8"/>
  <c r="P193" i="8" s="1"/>
  <c r="P192" i="8"/>
  <c r="AM37" i="8"/>
  <c r="AQ39" i="8" s="1" a="1"/>
  <c r="AQ39" i="8" s="1"/>
  <c r="H201" i="8" a="1"/>
  <c r="H201" i="8" s="1"/>
  <c r="AL37" i="8"/>
  <c r="B195" i="8" a="1"/>
  <c r="B195" i="8" s="1"/>
  <c r="U194" i="8"/>
  <c r="L38" i="8" s="1"/>
  <c r="K40" i="8"/>
  <c r="AF197" i="8"/>
  <c r="AH197" i="8" s="1"/>
  <c r="AG198" i="8"/>
  <c r="W196" i="8"/>
  <c r="AQ53" i="11"/>
  <c r="H301" i="11" a="1"/>
  <c r="H301" i="11" s="1"/>
  <c r="Q300" i="11"/>
  <c r="O301" i="11"/>
  <c r="AN52" i="11"/>
  <c r="AP53" i="11"/>
  <c r="G301" i="11" a="1"/>
  <c r="G301" i="11" s="1"/>
  <c r="AL53" i="11"/>
  <c r="AM53" i="11"/>
  <c r="C40" i="8"/>
  <c r="AI197" i="8" l="1"/>
  <c r="L197" i="8" s="1"/>
  <c r="M196" i="8"/>
  <c r="M195" i="8"/>
  <c r="AM38" i="8" s="1"/>
  <c r="O194" i="8"/>
  <c r="N194" i="8"/>
  <c r="H202" i="8" a="1"/>
  <c r="H202" i="8" s="1"/>
  <c r="M201" i="8" s="1"/>
  <c r="M200" i="8"/>
  <c r="AF198" i="8"/>
  <c r="AH198" i="8" s="1"/>
  <c r="AI198" i="8" s="1"/>
  <c r="AG199" i="8"/>
  <c r="AN53" i="11"/>
  <c r="W197" i="8"/>
  <c r="C195" i="8"/>
  <c r="F40" i="8"/>
  <c r="AB40" i="8" s="1"/>
  <c r="K41" i="8"/>
  <c r="S197" i="8" a="1"/>
  <c r="S197" i="8" s="1"/>
  <c r="T197" i="8" s="1"/>
  <c r="AP54" i="11"/>
  <c r="G302" i="11" a="1"/>
  <c r="G302" i="11" s="1"/>
  <c r="AL54" i="11"/>
  <c r="AN54" i="11" s="1"/>
  <c r="AM54" i="11"/>
  <c r="Q301" i="11"/>
  <c r="O302" i="11"/>
  <c r="AQ54" i="11"/>
  <c r="H302" i="11" a="1"/>
  <c r="H302" i="11" s="1"/>
  <c r="W199" i="8"/>
  <c r="L198" i="8" l="1"/>
  <c r="M197" i="8" s="1"/>
  <c r="N197" i="8" s="1"/>
  <c r="AQ40" i="8" a="1"/>
  <c r="AQ40" i="8" s="1"/>
  <c r="AL38" i="8"/>
  <c r="O195" i="8"/>
  <c r="N195" i="8"/>
  <c r="P194" i="8"/>
  <c r="H203" i="8" a="1"/>
  <c r="H203" i="8" s="1"/>
  <c r="M202" i="8" s="1"/>
  <c r="AM39" i="8"/>
  <c r="AQ41" i="8" s="1" a="1"/>
  <c r="AQ41" i="8" s="1"/>
  <c r="AL39" i="8"/>
  <c r="N196" i="8"/>
  <c r="O196" i="8"/>
  <c r="B196" i="8" a="1"/>
  <c r="B196" i="8" s="1"/>
  <c r="U195" i="8"/>
  <c r="L39" i="8" s="1"/>
  <c r="AC41" i="8" s="1"/>
  <c r="AG200" i="8"/>
  <c r="AF199" i="8"/>
  <c r="W198" i="8"/>
  <c r="AO40" i="8"/>
  <c r="AQ55" i="11"/>
  <c r="H303" i="11" a="1"/>
  <c r="H303" i="11" s="1"/>
  <c r="Q302" i="11"/>
  <c r="O303" i="11"/>
  <c r="AP55" i="11"/>
  <c r="G303" i="11" a="1"/>
  <c r="G303" i="11" s="1"/>
  <c r="AM55" i="11"/>
  <c r="AL55" i="11"/>
  <c r="W200" i="8"/>
  <c r="C41" i="8"/>
  <c r="AH199" i="8" l="1"/>
  <c r="AI199" i="8" s="1"/>
  <c r="L199" i="8" s="1"/>
  <c r="P195" i="8"/>
  <c r="AL40" i="8"/>
  <c r="AM40" i="8"/>
  <c r="AQ42" i="8" s="1" a="1"/>
  <c r="AQ42" i="8" s="1"/>
  <c r="O197" i="8"/>
  <c r="P197" i="8" s="1"/>
  <c r="P196" i="8"/>
  <c r="H204" i="8" a="1"/>
  <c r="H204" i="8" s="1"/>
  <c r="AM43" i="8"/>
  <c r="AF200" i="8"/>
  <c r="AG201" i="8"/>
  <c r="S199" i="8" a="1"/>
  <c r="S199" i="8" s="1"/>
  <c r="T199" i="8" s="1"/>
  <c r="AO42" i="8" s="1"/>
  <c r="K43" i="8"/>
  <c r="C196" i="8"/>
  <c r="F41" i="8"/>
  <c r="AB41" i="8" s="1"/>
  <c r="AN55" i="11"/>
  <c r="Q303" i="11"/>
  <c r="O304" i="11"/>
  <c r="AQ56" i="11"/>
  <c r="H304" i="11" a="1"/>
  <c r="H304" i="11" s="1"/>
  <c r="G304" i="11" a="1"/>
  <c r="G304" i="11" s="1"/>
  <c r="AP56" i="11"/>
  <c r="AL56" i="11"/>
  <c r="AM56" i="11"/>
  <c r="W201" i="8"/>
  <c r="AH200" i="8" l="1"/>
  <c r="AI200" i="8" s="1"/>
  <c r="L200" i="8" s="1"/>
  <c r="G204" i="8"/>
  <c r="M198" i="8"/>
  <c r="M199" i="8"/>
  <c r="AM42" i="8" s="1"/>
  <c r="AQ44" i="8" s="1" a="1"/>
  <c r="AQ44" i="8" s="1"/>
  <c r="H205" i="8" a="1"/>
  <c r="H205" i="8" s="1"/>
  <c r="B197" i="8" a="1"/>
  <c r="B197" i="8" s="1"/>
  <c r="U196" i="8"/>
  <c r="L40" i="8" s="1"/>
  <c r="AC42" i="8" s="1"/>
  <c r="AG202" i="8"/>
  <c r="AF201" i="8"/>
  <c r="AQ45" i="8" a="1"/>
  <c r="AQ45" i="8" s="1"/>
  <c r="AN56" i="11"/>
  <c r="N200" i="8"/>
  <c r="O200" i="8"/>
  <c r="AQ57" i="11"/>
  <c r="H305" i="11" a="1"/>
  <c r="H305" i="11" s="1"/>
  <c r="AP57" i="11"/>
  <c r="G305" i="11" a="1"/>
  <c r="G305" i="11" s="1"/>
  <c r="AL57" i="11"/>
  <c r="AM57" i="11"/>
  <c r="Q304" i="11"/>
  <c r="O305" i="11"/>
  <c r="W202" i="8"/>
  <c r="C42" i="8"/>
  <c r="AH201" i="8" l="1"/>
  <c r="AI201" i="8" s="1"/>
  <c r="L201" i="8" s="1"/>
  <c r="P200" i="8"/>
  <c r="S204" i="8" a="1"/>
  <c r="S204" i="8" s="1"/>
  <c r="T204" i="8" s="1"/>
  <c r="AO47" i="8" s="1"/>
  <c r="K48" i="8"/>
  <c r="F102" i="8" s="1"/>
  <c r="N199" i="8"/>
  <c r="O199" i="8"/>
  <c r="AL41" i="8"/>
  <c r="AM41" i="8"/>
  <c r="AQ43" i="8" s="1" a="1"/>
  <c r="AQ43" i="8" s="1"/>
  <c r="O198" i="8"/>
  <c r="N198" i="8"/>
  <c r="H206" i="8" a="1"/>
  <c r="H206" i="8" s="1"/>
  <c r="M205" i="8" s="1"/>
  <c r="AM44" i="8"/>
  <c r="AQ46" i="8" s="1" a="1"/>
  <c r="AQ46" i="8" s="1"/>
  <c r="N201" i="8"/>
  <c r="O201" i="8"/>
  <c r="AF202" i="8"/>
  <c r="AG203" i="8"/>
  <c r="F42" i="8"/>
  <c r="AB42" i="8" s="1"/>
  <c r="Q305" i="11"/>
  <c r="O306" i="11"/>
  <c r="AN57" i="11"/>
  <c r="AP58" i="11"/>
  <c r="G306" i="11" a="1"/>
  <c r="G306" i="11" s="1"/>
  <c r="AM58" i="11"/>
  <c r="AL58" i="11"/>
  <c r="AQ58" i="11"/>
  <c r="H306" i="11" a="1"/>
  <c r="H306" i="11" s="1"/>
  <c r="W203" i="8"/>
  <c r="C197" i="8"/>
  <c r="AH202" i="8" l="1"/>
  <c r="AI202" i="8" s="1"/>
  <c r="L202" i="8" s="1"/>
  <c r="P199" i="8"/>
  <c r="P198" i="8"/>
  <c r="E36" i="11"/>
  <c r="P101" i="11"/>
  <c r="P201" i="8"/>
  <c r="H207" i="8" a="1"/>
  <c r="H207" i="8" s="1"/>
  <c r="M206" i="8" s="1"/>
  <c r="B198" i="8" a="1"/>
  <c r="B198" i="8" s="1"/>
  <c r="U197" i="8"/>
  <c r="L41" i="8" s="1"/>
  <c r="AC43" i="8" s="1"/>
  <c r="AF203" i="8"/>
  <c r="AG204" i="8"/>
  <c r="C43" i="8"/>
  <c r="AN58" i="11"/>
  <c r="AP59" i="11"/>
  <c r="G307" i="11" a="1"/>
  <c r="G307" i="11" s="1"/>
  <c r="AM59" i="11"/>
  <c r="AL59" i="11"/>
  <c r="Q306" i="11"/>
  <c r="O307" i="11"/>
  <c r="AQ59" i="11"/>
  <c r="H307" i="11" a="1"/>
  <c r="H307" i="11" s="1"/>
  <c r="W204" i="8"/>
  <c r="AH203" i="8" l="1"/>
  <c r="AI203" i="8" s="1"/>
  <c r="L203" i="8" s="1"/>
  <c r="F43" i="8"/>
  <c r="AB43" i="8" s="1"/>
  <c r="H208" i="8" a="1"/>
  <c r="H208" i="8" s="1"/>
  <c r="M207" i="8" s="1"/>
  <c r="AG205" i="8"/>
  <c r="AM45" i="8"/>
  <c r="O202" i="8"/>
  <c r="N202" i="8"/>
  <c r="P202" i="8" s="1"/>
  <c r="AF204" i="8"/>
  <c r="AN59" i="11"/>
  <c r="C198" i="8"/>
  <c r="Q307" i="11"/>
  <c r="O308" i="11"/>
  <c r="G308" i="11" a="1"/>
  <c r="G308" i="11" s="1"/>
  <c r="AP60" i="11"/>
  <c r="AL60" i="11"/>
  <c r="AM60" i="11"/>
  <c r="AQ60" i="11"/>
  <c r="H308" i="11" a="1"/>
  <c r="H308" i="11" s="1"/>
  <c r="W205" i="8"/>
  <c r="AH204" i="8" l="1"/>
  <c r="AI204" i="8" s="1"/>
  <c r="L204" i="8" s="1"/>
  <c r="C44" i="8"/>
  <c r="C199" i="8" s="1"/>
  <c r="F44" i="8"/>
  <c r="AB44" i="8" s="1"/>
  <c r="H209" i="8" a="1"/>
  <c r="H209" i="8" s="1"/>
  <c r="M208" i="8" s="1"/>
  <c r="B199" i="8" a="1"/>
  <c r="B199" i="8" s="1"/>
  <c r="U198" i="8"/>
  <c r="L42" i="8" s="1"/>
  <c r="AC44" i="8" s="1"/>
  <c r="AQ47" i="8" a="1"/>
  <c r="AQ47" i="8" s="1"/>
  <c r="Y46" i="8"/>
  <c r="AF205" i="8"/>
  <c r="AG206" i="8"/>
  <c r="AQ61" i="11"/>
  <c r="H309" i="11" a="1"/>
  <c r="H309" i="11" s="1"/>
  <c r="AN60" i="11"/>
  <c r="G309" i="11" a="1"/>
  <c r="G309" i="11" s="1"/>
  <c r="AP61" i="11"/>
  <c r="AL61" i="11"/>
  <c r="AM61" i="11"/>
  <c r="Q308" i="11"/>
  <c r="O309" i="11"/>
  <c r="W206" i="8"/>
  <c r="AH205" i="8" l="1"/>
  <c r="AI205" i="8" s="1"/>
  <c r="L205" i="8" s="1"/>
  <c r="C45" i="8"/>
  <c r="M203" i="8"/>
  <c r="M204" i="8"/>
  <c r="H210" i="8" a="1"/>
  <c r="H210" i="8" s="1"/>
  <c r="M209" i="8" s="1"/>
  <c r="B200" i="8" a="1"/>
  <c r="B200" i="8" s="1"/>
  <c r="U199" i="8"/>
  <c r="L43" i="8" s="1"/>
  <c r="AC45" i="8" s="1"/>
  <c r="AM48" i="8"/>
  <c r="AQ50" i="8" s="1" a="1"/>
  <c r="AQ50" i="8" s="1"/>
  <c r="P205" i="8"/>
  <c r="O205" i="8"/>
  <c r="N205" i="8"/>
  <c r="AF206" i="8"/>
  <c r="AG207" i="8"/>
  <c r="AN61" i="11"/>
  <c r="AP62" i="11"/>
  <c r="G310" i="11" a="1"/>
  <c r="G310" i="11" s="1"/>
  <c r="AM62" i="11"/>
  <c r="AL62" i="11"/>
  <c r="AN62" i="11" s="1"/>
  <c r="AQ62" i="11"/>
  <c r="H310" i="11" a="1"/>
  <c r="H310" i="11" s="1"/>
  <c r="Q309" i="11"/>
  <c r="O310" i="11"/>
  <c r="W207" i="8"/>
  <c r="AH206" i="8" l="1"/>
  <c r="AI206" i="8" s="1"/>
  <c r="L206" i="8" s="1"/>
  <c r="F45" i="8"/>
  <c r="AB45" i="8" s="1"/>
  <c r="C200" i="8"/>
  <c r="AM47" i="8"/>
  <c r="AQ49" i="8" s="1" a="1"/>
  <c r="AQ49" i="8" s="1"/>
  <c r="O204" i="8"/>
  <c r="N204" i="8"/>
  <c r="P204" i="8" s="1"/>
  <c r="AL46" i="8"/>
  <c r="AM46" i="8"/>
  <c r="O203" i="8"/>
  <c r="N203" i="8"/>
  <c r="P203" i="8" s="1"/>
  <c r="H211" i="8" a="1"/>
  <c r="H211" i="8" s="1"/>
  <c r="M210" i="8" s="1"/>
  <c r="Y49" i="8"/>
  <c r="AF207" i="8"/>
  <c r="AG208" i="8"/>
  <c r="AQ63" i="11"/>
  <c r="H311" i="11" a="1"/>
  <c r="H311" i="11" s="1"/>
  <c r="AP63" i="11"/>
  <c r="G311" i="11" a="1"/>
  <c r="G311" i="11" s="1"/>
  <c r="AM63" i="11"/>
  <c r="AL63" i="11"/>
  <c r="AN63" i="11" s="1"/>
  <c r="Q310" i="11"/>
  <c r="O311" i="11"/>
  <c r="W208" i="8"/>
  <c r="AH207" i="8" l="1"/>
  <c r="AI207" i="8" s="1"/>
  <c r="L207" i="8" s="1"/>
  <c r="B201" i="8" a="1"/>
  <c r="B201" i="8" s="1"/>
  <c r="U200" i="8"/>
  <c r="L44" i="8" s="1"/>
  <c r="AC46" i="8" s="1"/>
  <c r="C46" i="8"/>
  <c r="AQ48" i="8" a="1"/>
  <c r="AQ48" i="8" s="1"/>
  <c r="Y47" i="8"/>
  <c r="H212" i="8" a="1"/>
  <c r="H212" i="8" s="1"/>
  <c r="AM49" i="8"/>
  <c r="N206" i="8"/>
  <c r="O206" i="8"/>
  <c r="P206" i="8"/>
  <c r="AF208" i="8"/>
  <c r="AG209" i="8"/>
  <c r="Q311" i="11"/>
  <c r="O312" i="11"/>
  <c r="AP64" i="11"/>
  <c r="G312" i="11" a="1"/>
  <c r="G312" i="11" s="1"/>
  <c r="AM64" i="11"/>
  <c r="AL64" i="11"/>
  <c r="AN64" i="11" s="1"/>
  <c r="AQ64" i="11"/>
  <c r="H312" i="11" a="1"/>
  <c r="H312" i="11" s="1"/>
  <c r="W209" i="8"/>
  <c r="AH208" i="8" l="1"/>
  <c r="AI208" i="8" s="1"/>
  <c r="L208" i="8" s="1"/>
  <c r="F46" i="8"/>
  <c r="AB46" i="8" s="1"/>
  <c r="C201" i="8"/>
  <c r="C47" i="8"/>
  <c r="H213" i="8" a="1"/>
  <c r="H213" i="8" s="1"/>
  <c r="M212" i="8" s="1"/>
  <c r="M211" i="8"/>
  <c r="AF209" i="8"/>
  <c r="AG210" i="8"/>
  <c r="AM50" i="8"/>
  <c r="N207" i="8"/>
  <c r="O207" i="8"/>
  <c r="P207" i="8"/>
  <c r="AQ51" i="8" a="1"/>
  <c r="AQ51" i="8" s="1"/>
  <c r="Y50" i="8"/>
  <c r="AQ65" i="11"/>
  <c r="H313" i="11" a="1"/>
  <c r="H313" i="11" s="1"/>
  <c r="AP65" i="11"/>
  <c r="G313" i="11" a="1"/>
  <c r="G313" i="11" s="1"/>
  <c r="AM65" i="11"/>
  <c r="AL65" i="11"/>
  <c r="Q312" i="11"/>
  <c r="O313" i="11"/>
  <c r="W210" i="8"/>
  <c r="AH209" i="8" l="1"/>
  <c r="AI209" i="8" s="1"/>
  <c r="L209" i="8" s="1"/>
  <c r="F47" i="8"/>
  <c r="AB47" i="8" s="1"/>
  <c r="C48" i="8"/>
  <c r="C202" i="8"/>
  <c r="B202" i="8" a="1"/>
  <c r="B202" i="8" s="1"/>
  <c r="U201" i="8"/>
  <c r="L45" i="8" s="1"/>
  <c r="AC47" i="8" s="1"/>
  <c r="H214" i="8" a="1"/>
  <c r="H214" i="8" s="1"/>
  <c r="M213" i="8" s="1"/>
  <c r="AM51" i="8"/>
  <c r="P208" i="8"/>
  <c r="N208" i="8"/>
  <c r="O208" i="8"/>
  <c r="AG211" i="8"/>
  <c r="AF210" i="8"/>
  <c r="Y51" i="8"/>
  <c r="AQ52" i="8" a="1"/>
  <c r="AQ52" i="8" s="1"/>
  <c r="AN65" i="11"/>
  <c r="AP66" i="11"/>
  <c r="G314" i="11" a="1"/>
  <c r="G314" i="11" s="1"/>
  <c r="AM66" i="11"/>
  <c r="AL66" i="11"/>
  <c r="H314" i="11" a="1"/>
  <c r="H314" i="11" s="1"/>
  <c r="AQ66" i="11"/>
  <c r="Q313" i="11"/>
  <c r="O314" i="11"/>
  <c r="W211" i="8"/>
  <c r="AH210" i="8" l="1"/>
  <c r="AI210" i="8" s="1"/>
  <c r="L210" i="8" s="1"/>
  <c r="U202" i="8"/>
  <c r="L46" i="8" s="1"/>
  <c r="AC48" i="8" s="1"/>
  <c r="B203" i="8" a="1"/>
  <c r="B203" i="8" s="1"/>
  <c r="AB48" i="8"/>
  <c r="C203" i="8"/>
  <c r="C49" i="8"/>
  <c r="C204" i="8" s="1"/>
  <c r="H215" i="8" a="1"/>
  <c r="H215" i="8" s="1"/>
  <c r="M214" i="8" s="1"/>
  <c r="AM53" i="8"/>
  <c r="AQ55" i="8" s="1" a="1"/>
  <c r="AQ55" i="8" s="1"/>
  <c r="P210" i="8"/>
  <c r="O210" i="8"/>
  <c r="N210" i="8"/>
  <c r="AG212" i="8"/>
  <c r="AM52" i="8"/>
  <c r="N209" i="8"/>
  <c r="O209" i="8"/>
  <c r="P209" i="8"/>
  <c r="AF211" i="8"/>
  <c r="Y52" i="8"/>
  <c r="AQ53" i="8" a="1"/>
  <c r="AQ53" i="8" s="1"/>
  <c r="Q314" i="11"/>
  <c r="O315" i="11"/>
  <c r="AQ67" i="11"/>
  <c r="H315" i="11" a="1"/>
  <c r="H315" i="11" s="1"/>
  <c r="AN66" i="11"/>
  <c r="AP67" i="11"/>
  <c r="G315" i="11" a="1"/>
  <c r="G315" i="11" s="1"/>
  <c r="AM67" i="11"/>
  <c r="AL67" i="11"/>
  <c r="W212" i="8"/>
  <c r="AH211" i="8" l="1"/>
  <c r="AI211" i="8" s="1"/>
  <c r="L211" i="8" s="1"/>
  <c r="B205" i="8" a="1"/>
  <c r="B205" i="8" s="1"/>
  <c r="U204" i="8"/>
  <c r="L48" i="8" s="1"/>
  <c r="AC50" i="8" s="1"/>
  <c r="AB49" i="8"/>
  <c r="C50" i="8"/>
  <c r="B204" i="8" a="1"/>
  <c r="B204" i="8" s="1"/>
  <c r="U203" i="8"/>
  <c r="L47" i="8" s="1"/>
  <c r="AC49" i="8" s="1"/>
  <c r="H216" i="8" a="1"/>
  <c r="H216" i="8" s="1"/>
  <c r="M215" i="8" s="1"/>
  <c r="Y54" i="8"/>
  <c r="AF212" i="8"/>
  <c r="AG213" i="8"/>
  <c r="AQ54" i="8" a="1"/>
  <c r="AQ54" i="8" s="1"/>
  <c r="Y53" i="8"/>
  <c r="AP68" i="11"/>
  <c r="G316" i="11" a="1"/>
  <c r="G316" i="11" s="1"/>
  <c r="AM68" i="11"/>
  <c r="AL68" i="11"/>
  <c r="AQ68" i="11"/>
  <c r="H316" i="11" a="1"/>
  <c r="H316" i="11" s="1"/>
  <c r="Q315" i="11"/>
  <c r="O316" i="11"/>
  <c r="AN67" i="11"/>
  <c r="W213" i="8"/>
  <c r="AH212" i="8" l="1"/>
  <c r="AI212" i="8" s="1"/>
  <c r="L212" i="8" s="1"/>
  <c r="AB50" i="8"/>
  <c r="C205" i="8"/>
  <c r="C51" i="8"/>
  <c r="H217" i="8" a="1"/>
  <c r="H217" i="8" s="1"/>
  <c r="M216" i="8" s="1"/>
  <c r="AG214" i="8"/>
  <c r="AF213" i="8"/>
  <c r="AM54" i="8"/>
  <c r="N211" i="8"/>
  <c r="P211" i="8"/>
  <c r="O211" i="8"/>
  <c r="AN68" i="11"/>
  <c r="Q316" i="11"/>
  <c r="O317" i="11"/>
  <c r="AQ69" i="11"/>
  <c r="H317" i="11" a="1"/>
  <c r="H317" i="11" s="1"/>
  <c r="AP69" i="11"/>
  <c r="G317" i="11" a="1"/>
  <c r="G317" i="11" s="1"/>
  <c r="AM69" i="11"/>
  <c r="AL69" i="11"/>
  <c r="AN69" i="11" s="1"/>
  <c r="W214" i="8"/>
  <c r="AH213" i="8" l="1"/>
  <c r="AI213" i="8" s="1"/>
  <c r="L213" i="8" s="1"/>
  <c r="AB51" i="8"/>
  <c r="C206" i="8"/>
  <c r="C52" i="8"/>
  <c r="U205" i="8"/>
  <c r="L49" i="8" s="1"/>
  <c r="AC51" i="8" s="1"/>
  <c r="B206" i="8" a="1"/>
  <c r="B206" i="8" s="1"/>
  <c r="H218" i="8" a="1"/>
  <c r="H218" i="8" s="1"/>
  <c r="M217" i="8" s="1"/>
  <c r="AQ56" i="8" a="1"/>
  <c r="AQ56" i="8" s="1"/>
  <c r="Y55" i="8"/>
  <c r="AM55" i="8"/>
  <c r="N212" i="8"/>
  <c r="O212" i="8"/>
  <c r="P212" i="8"/>
  <c r="AF214" i="8"/>
  <c r="AG215" i="8"/>
  <c r="AP70" i="11"/>
  <c r="G318" i="11" a="1"/>
  <c r="G318" i="11" s="1"/>
  <c r="AM70" i="11"/>
  <c r="AL70" i="11"/>
  <c r="AQ70" i="11"/>
  <c r="H318" i="11" a="1"/>
  <c r="H318" i="11" s="1"/>
  <c r="Q317" i="11"/>
  <c r="O318" i="11"/>
  <c r="W215" i="8"/>
  <c r="AH214" i="8" l="1"/>
  <c r="AI214" i="8" s="1"/>
  <c r="L214" i="8" s="1"/>
  <c r="AB52" i="8"/>
  <c r="C207" i="8"/>
  <c r="C53" i="8"/>
  <c r="U206" i="8"/>
  <c r="L50" i="8" s="1"/>
  <c r="AC52" i="8" s="1"/>
  <c r="B207" i="8" a="1"/>
  <c r="B207" i="8" s="1"/>
  <c r="H219" i="8" a="1"/>
  <c r="H219" i="8" s="1"/>
  <c r="M218" i="8" s="1"/>
  <c r="AM57" i="8"/>
  <c r="AQ59" i="8" s="1" a="1"/>
  <c r="AQ59" i="8" s="1"/>
  <c r="N214" i="8"/>
  <c r="P214" i="8"/>
  <c r="O214" i="8"/>
  <c r="AG216" i="8"/>
  <c r="AQ57" i="8" a="1"/>
  <c r="AQ57" i="8" s="1"/>
  <c r="Y56" i="8"/>
  <c r="AM56" i="8"/>
  <c r="P213" i="8"/>
  <c r="O213" i="8"/>
  <c r="N213" i="8"/>
  <c r="AF215" i="8"/>
  <c r="AN70" i="11"/>
  <c r="Q318" i="11"/>
  <c r="O319" i="11"/>
  <c r="AQ71" i="11"/>
  <c r="H319" i="11" a="1"/>
  <c r="H319" i="11" s="1"/>
  <c r="AP71" i="11"/>
  <c r="G319" i="11" a="1"/>
  <c r="G319" i="11" s="1"/>
  <c r="AM71" i="11"/>
  <c r="AL71" i="11"/>
  <c r="AN71" i="11" s="1"/>
  <c r="W216" i="8"/>
  <c r="AH215" i="8" l="1"/>
  <c r="AI215" i="8" s="1"/>
  <c r="L215" i="8" s="1"/>
  <c r="AB53" i="8"/>
  <c r="C208" i="8"/>
  <c r="C54" i="8"/>
  <c r="B208" i="8" a="1"/>
  <c r="B208" i="8" s="1"/>
  <c r="U207" i="8"/>
  <c r="L51" i="8" s="1"/>
  <c r="AC53" i="8" s="1"/>
  <c r="H220" i="8" a="1"/>
  <c r="H220" i="8" s="1"/>
  <c r="M219" i="8" s="1"/>
  <c r="Y58" i="8"/>
  <c r="AM58" i="8"/>
  <c r="AQ60" i="8" s="1" a="1"/>
  <c r="AQ60" i="8" s="1"/>
  <c r="N215" i="8"/>
  <c r="P215" i="8"/>
  <c r="O215" i="8"/>
  <c r="AG217" i="8"/>
  <c r="AQ58" i="8" a="1"/>
  <c r="AQ58" i="8" s="1"/>
  <c r="Y57" i="8"/>
  <c r="AF216" i="8"/>
  <c r="AP72" i="11"/>
  <c r="G320" i="11" a="1"/>
  <c r="G320" i="11" s="1"/>
  <c r="AM72" i="11"/>
  <c r="AL72" i="11"/>
  <c r="AN72" i="11" s="1"/>
  <c r="AQ72" i="11"/>
  <c r="H320" i="11" a="1"/>
  <c r="H320" i="11" s="1"/>
  <c r="Q319" i="11"/>
  <c r="O320" i="11"/>
  <c r="W217" i="8"/>
  <c r="AH216" i="8" l="1"/>
  <c r="AI216" i="8" s="1"/>
  <c r="L216" i="8" s="1"/>
  <c r="AB54" i="8"/>
  <c r="C55" i="8"/>
  <c r="C209" i="8"/>
  <c r="B209" i="8" a="1"/>
  <c r="B209" i="8" s="1"/>
  <c r="U208" i="8"/>
  <c r="L52" i="8" s="1"/>
  <c r="AC54" i="8" s="1"/>
  <c r="H221" i="8" a="1"/>
  <c r="H221" i="8" s="1"/>
  <c r="M220" i="8" s="1"/>
  <c r="Y59" i="8"/>
  <c r="AG218" i="8"/>
  <c r="AF217" i="8"/>
  <c r="Q320" i="11"/>
  <c r="O321" i="11"/>
  <c r="H321" i="11" a="1"/>
  <c r="H321" i="11" s="1"/>
  <c r="AQ73" i="11"/>
  <c r="AP73" i="11"/>
  <c r="G321" i="11" a="1"/>
  <c r="G321" i="11" s="1"/>
  <c r="AL73" i="11"/>
  <c r="AM73" i="11"/>
  <c r="W218" i="8"/>
  <c r="AH217" i="8" l="1"/>
  <c r="AI217" i="8" s="1"/>
  <c r="L217" i="8" s="1"/>
  <c r="U209" i="8"/>
  <c r="L53" i="8" s="1"/>
  <c r="AC55" i="8" s="1"/>
  <c r="B210" i="8" a="1"/>
  <c r="B210" i="8" s="1"/>
  <c r="AB55" i="8"/>
  <c r="C210" i="8"/>
  <c r="C56" i="8"/>
  <c r="H222" i="8" a="1"/>
  <c r="H222" i="8" s="1"/>
  <c r="M221" i="8" s="1"/>
  <c r="AF218" i="8"/>
  <c r="AM59" i="8"/>
  <c r="O216" i="8"/>
  <c r="P216" i="8"/>
  <c r="N216" i="8"/>
  <c r="AG219" i="8"/>
  <c r="AN73" i="11"/>
  <c r="AP74" i="11"/>
  <c r="G322" i="11" a="1"/>
  <c r="G322" i="11" s="1"/>
  <c r="AL74" i="11"/>
  <c r="AM74" i="11"/>
  <c r="AQ74" i="11"/>
  <c r="H322" i="11" a="1"/>
  <c r="H322" i="11" s="1"/>
  <c r="Q321" i="11"/>
  <c r="O322" i="11"/>
  <c r="W219" i="8"/>
  <c r="AH218" i="8" l="1"/>
  <c r="AI218" i="8" s="1"/>
  <c r="L218" i="8" s="1"/>
  <c r="AB56" i="8"/>
  <c r="C211" i="8"/>
  <c r="C57" i="8"/>
  <c r="U210" i="8"/>
  <c r="L54" i="8" s="1"/>
  <c r="AC56" i="8" s="1"/>
  <c r="B211" i="8" a="1"/>
  <c r="B211" i="8" s="1"/>
  <c r="H223" i="8" a="1"/>
  <c r="H223" i="8" s="1"/>
  <c r="M222" i="8" s="1"/>
  <c r="AQ61" i="8" a="1"/>
  <c r="AQ61" i="8" s="1"/>
  <c r="Y60" i="8"/>
  <c r="AM60" i="8"/>
  <c r="P217" i="8"/>
  <c r="O217" i="8"/>
  <c r="N217" i="8"/>
  <c r="AF219" i="8"/>
  <c r="AG220" i="8"/>
  <c r="AQ75" i="11"/>
  <c r="H323" i="11" a="1"/>
  <c r="H323" i="11" s="1"/>
  <c r="AN74" i="11"/>
  <c r="G323" i="11" a="1"/>
  <c r="G323" i="11" s="1"/>
  <c r="AP75" i="11"/>
  <c r="AL75" i="11"/>
  <c r="AN75" i="11" s="1"/>
  <c r="AM75" i="11"/>
  <c r="Q322" i="11"/>
  <c r="O323" i="11"/>
  <c r="AH219" i="8" l="1"/>
  <c r="AI219" i="8" s="1"/>
  <c r="L219" i="8" s="1"/>
  <c r="AB57" i="8"/>
  <c r="C58" i="8"/>
  <c r="C212" i="8"/>
  <c r="U211" i="8"/>
  <c r="L55" i="8" s="1"/>
  <c r="AC57" i="8" s="1"/>
  <c r="B212" i="8" a="1"/>
  <c r="B212" i="8" s="1"/>
  <c r="H224" i="8" a="1"/>
  <c r="H224" i="8" s="1"/>
  <c r="M223" i="8" s="1"/>
  <c r="AM62" i="8"/>
  <c r="Y63" i="8" s="1"/>
  <c r="N219" i="8"/>
  <c r="P219" i="8"/>
  <c r="O219" i="8"/>
  <c r="AM61" i="8"/>
  <c r="O218" i="8"/>
  <c r="P218" i="8"/>
  <c r="N218" i="8"/>
  <c r="AQ62" i="8" a="1"/>
  <c r="AQ62" i="8" s="1"/>
  <c r="Y61" i="8"/>
  <c r="AG221" i="8"/>
  <c r="AF220" i="8"/>
  <c r="AM63" i="8"/>
  <c r="AQ65" i="8" s="1" a="1"/>
  <c r="AQ65" i="8" s="1"/>
  <c r="AP76" i="11"/>
  <c r="G324" i="11" a="1"/>
  <c r="G324" i="11" s="1"/>
  <c r="AM76" i="11"/>
  <c r="AL76" i="11"/>
  <c r="AN76" i="11" s="1"/>
  <c r="AQ76" i="11"/>
  <c r="H324" i="11" a="1"/>
  <c r="H324" i="11" s="1"/>
  <c r="Q323" i="11"/>
  <c r="O324" i="11"/>
  <c r="AH220" i="8" l="1"/>
  <c r="AI220" i="8" s="1"/>
  <c r="L220" i="8" s="1"/>
  <c r="B213" i="8" a="1"/>
  <c r="B213" i="8" s="1"/>
  <c r="U212" i="8"/>
  <c r="L56" i="8" s="1"/>
  <c r="AC58" i="8" s="1"/>
  <c r="AB58" i="8"/>
  <c r="C213" i="8"/>
  <c r="C59" i="8"/>
  <c r="H225" i="8" a="1"/>
  <c r="H225" i="8" s="1"/>
  <c r="M224" i="8" s="1"/>
  <c r="AQ64" i="8" a="1"/>
  <c r="AQ64" i="8" s="1"/>
  <c r="N220" i="8"/>
  <c r="AQ63" i="8" a="1"/>
  <c r="AQ63" i="8" s="1"/>
  <c r="Y62" i="8"/>
  <c r="AG222" i="8"/>
  <c r="O220" i="8"/>
  <c r="P220" i="8"/>
  <c r="Y64" i="8"/>
  <c r="W220" i="8"/>
  <c r="AF221" i="8"/>
  <c r="Q324" i="11"/>
  <c r="O325" i="11"/>
  <c r="AQ77" i="11"/>
  <c r="H325" i="11" a="1"/>
  <c r="H325" i="11" s="1"/>
  <c r="AP77" i="11"/>
  <c r="G325" i="11" a="1"/>
  <c r="G325" i="11" s="1"/>
  <c r="AM77" i="11"/>
  <c r="AL77" i="11"/>
  <c r="AN77" i="11" s="1"/>
  <c r="W222" i="8"/>
  <c r="AH221" i="8" l="1"/>
  <c r="AI221" i="8" s="1"/>
  <c r="L221" i="8" s="1"/>
  <c r="AB59" i="8"/>
  <c r="C60" i="8"/>
  <c r="C214" i="8"/>
  <c r="B214" i="8" a="1"/>
  <c r="B214" i="8" s="1"/>
  <c r="U213" i="8"/>
  <c r="L57" i="8" s="1"/>
  <c r="AC59" i="8" s="1"/>
  <c r="H226" i="8" a="1"/>
  <c r="H226" i="8" s="1"/>
  <c r="M225" i="8" s="1"/>
  <c r="AM64" i="8"/>
  <c r="AQ66" i="8" s="1" a="1"/>
  <c r="AQ66" i="8" s="1"/>
  <c r="P221" i="8"/>
  <c r="N221" i="8"/>
  <c r="O221" i="8"/>
  <c r="AG223" i="8"/>
  <c r="W221" i="8"/>
  <c r="AF222" i="8"/>
  <c r="AQ78" i="11"/>
  <c r="H326" i="11" a="1"/>
  <c r="H326" i="11" s="1"/>
  <c r="AP78" i="11"/>
  <c r="G326" i="11" a="1"/>
  <c r="G326" i="11" s="1"/>
  <c r="AL78" i="11"/>
  <c r="AM78" i="11"/>
  <c r="Q325" i="11"/>
  <c r="O326" i="11"/>
  <c r="W223" i="8"/>
  <c r="AH222" i="8" l="1"/>
  <c r="AI222" i="8" s="1"/>
  <c r="L222" i="8" s="1"/>
  <c r="B215" i="8" a="1"/>
  <c r="B215" i="8" s="1"/>
  <c r="U214" i="8"/>
  <c r="L58" i="8" s="1"/>
  <c r="AC60" i="8" s="1"/>
  <c r="AB60" i="8"/>
  <c r="C61" i="8"/>
  <c r="C215" i="8"/>
  <c r="H227" i="8" a="1"/>
  <c r="H227" i="8" s="1"/>
  <c r="M226" i="8" s="1"/>
  <c r="Y65" i="8"/>
  <c r="AM65" i="8"/>
  <c r="AQ67" i="8" s="1" a="1"/>
  <c r="AQ67" i="8" s="1"/>
  <c r="N222" i="8"/>
  <c r="O222" i="8"/>
  <c r="P222" i="8"/>
  <c r="AG224" i="8"/>
  <c r="AF223" i="8"/>
  <c r="Q326" i="11"/>
  <c r="O327" i="11"/>
  <c r="AN78" i="11"/>
  <c r="AP79" i="11"/>
  <c r="G327" i="11" a="1"/>
  <c r="G327" i="11" s="1"/>
  <c r="AM79" i="11"/>
  <c r="AL79" i="11"/>
  <c r="AQ79" i="11"/>
  <c r="H327" i="11" a="1"/>
  <c r="H327" i="11" s="1"/>
  <c r="W224" i="8"/>
  <c r="AH223" i="8" l="1"/>
  <c r="AI223" i="8" s="1"/>
  <c r="L223" i="8" s="1"/>
  <c r="AB61" i="8"/>
  <c r="C216" i="8"/>
  <c r="C62" i="8"/>
  <c r="U215" i="8"/>
  <c r="L59" i="8" s="1"/>
  <c r="AC61" i="8" s="1"/>
  <c r="B216" i="8" a="1"/>
  <c r="B216" i="8" s="1"/>
  <c r="H228" i="8" a="1"/>
  <c r="H228" i="8" s="1"/>
  <c r="M227" i="8" s="1"/>
  <c r="Y66" i="8"/>
  <c r="AM66" i="8"/>
  <c r="AQ68" i="8" s="1" a="1"/>
  <c r="AQ68" i="8" s="1"/>
  <c r="O223" i="8"/>
  <c r="P223" i="8"/>
  <c r="N223" i="8"/>
  <c r="AG225" i="8"/>
  <c r="AF224" i="8"/>
  <c r="AN79" i="11"/>
  <c r="AP80" i="11"/>
  <c r="G328" i="11" a="1"/>
  <c r="G328" i="11" s="1"/>
  <c r="AM80" i="11"/>
  <c r="AL80" i="11"/>
  <c r="Q327" i="11"/>
  <c r="O328" i="11"/>
  <c r="AQ80" i="11"/>
  <c r="H328" i="11" a="1"/>
  <c r="H328" i="11" s="1"/>
  <c r="W225" i="8"/>
  <c r="AH224" i="8" l="1"/>
  <c r="AI224" i="8" s="1"/>
  <c r="L224" i="8" s="1"/>
  <c r="AB62" i="8"/>
  <c r="C63" i="8"/>
  <c r="C217" i="8"/>
  <c r="B217" i="8" a="1"/>
  <c r="B217" i="8" s="1"/>
  <c r="U216" i="8"/>
  <c r="L60" i="8" s="1"/>
  <c r="AC62" i="8" s="1"/>
  <c r="H229" i="8" a="1"/>
  <c r="H229" i="8" s="1"/>
  <c r="M228" i="8" s="1"/>
  <c r="Y67" i="8"/>
  <c r="AM67" i="8"/>
  <c r="AQ69" i="8" s="1" a="1"/>
  <c r="AQ69" i="8" s="1"/>
  <c r="N224" i="8"/>
  <c r="O224" i="8"/>
  <c r="P224" i="8"/>
  <c r="AG226" i="8"/>
  <c r="AF225" i="8"/>
  <c r="AN80" i="11"/>
  <c r="Q328" i="11"/>
  <c r="O329" i="11"/>
  <c r="AP81" i="11"/>
  <c r="G329" i="11" a="1"/>
  <c r="G329" i="11" s="1"/>
  <c r="AL81" i="11"/>
  <c r="AM81" i="11"/>
  <c r="H329" i="11" a="1"/>
  <c r="H329" i="11" s="1"/>
  <c r="AQ81" i="11"/>
  <c r="W226" i="8"/>
  <c r="AH225" i="8" l="1"/>
  <c r="AI225" i="8" s="1"/>
  <c r="L225" i="8" s="1"/>
  <c r="U217" i="8"/>
  <c r="L61" i="8" s="1"/>
  <c r="AC63" i="8" s="1"/>
  <c r="B218" i="8" a="1"/>
  <c r="B218" i="8" s="1"/>
  <c r="AB63" i="8"/>
  <c r="C64" i="8"/>
  <c r="C218" i="8"/>
  <c r="H230" i="8" a="1"/>
  <c r="H230" i="8" s="1"/>
  <c r="M229" i="8" s="1"/>
  <c r="Y68" i="8"/>
  <c r="AM68" i="8"/>
  <c r="AQ70" i="8" s="1" a="1"/>
  <c r="AQ70" i="8" s="1"/>
  <c r="P225" i="8"/>
  <c r="N225" i="8"/>
  <c r="O225" i="8"/>
  <c r="AG227" i="8"/>
  <c r="AF226" i="8"/>
  <c r="AQ82" i="11"/>
  <c r="H330" i="11" a="1"/>
  <c r="H330" i="11" s="1"/>
  <c r="AN81" i="11"/>
  <c r="AP82" i="11"/>
  <c r="G330" i="11" a="1"/>
  <c r="G330" i="11" s="1"/>
  <c r="AM82" i="11"/>
  <c r="AL82" i="11"/>
  <c r="Q329" i="11"/>
  <c r="O330" i="11"/>
  <c r="W227" i="8"/>
  <c r="AH226" i="8" l="1"/>
  <c r="AI226" i="8" s="1"/>
  <c r="L226" i="8" s="1"/>
  <c r="U218" i="8"/>
  <c r="L62" i="8" s="1"/>
  <c r="AC64" i="8" s="1"/>
  <c r="B219" i="8" a="1"/>
  <c r="B219" i="8" s="1"/>
  <c r="AB64" i="8"/>
  <c r="C219" i="8"/>
  <c r="C65" i="8"/>
  <c r="H231" i="8" a="1"/>
  <c r="H231" i="8" s="1"/>
  <c r="M230" i="8" s="1"/>
  <c r="Y69" i="8"/>
  <c r="AM69" i="8"/>
  <c r="AQ71" i="8" s="1" a="1"/>
  <c r="AQ71" i="8" s="1"/>
  <c r="N226" i="8"/>
  <c r="O226" i="8"/>
  <c r="P226" i="8"/>
  <c r="AF227" i="8"/>
  <c r="AG228" i="8"/>
  <c r="AN82" i="11"/>
  <c r="AP83" i="11"/>
  <c r="G331" i="11" a="1"/>
  <c r="G331" i="11" s="1"/>
  <c r="AM83" i="11"/>
  <c r="AL83" i="11"/>
  <c r="AN83" i="11" s="1"/>
  <c r="AQ83" i="11"/>
  <c r="H331" i="11" a="1"/>
  <c r="H331" i="11" s="1"/>
  <c r="Q330" i="11"/>
  <c r="O331" i="11"/>
  <c r="W228" i="8"/>
  <c r="AH227" i="8" l="1"/>
  <c r="AI227" i="8" s="1"/>
  <c r="L227" i="8" s="1"/>
  <c r="U219" i="8"/>
  <c r="L63" i="8" s="1"/>
  <c r="AC65" i="8" s="1"/>
  <c r="B220" i="8" a="1"/>
  <c r="B220" i="8" s="1"/>
  <c r="AB65" i="8"/>
  <c r="C66" i="8"/>
  <c r="C220" i="8"/>
  <c r="H232" i="8" a="1"/>
  <c r="H232" i="8" s="1"/>
  <c r="M231" i="8" s="1"/>
  <c r="Y70" i="8"/>
  <c r="AF228" i="8"/>
  <c r="AG229" i="8"/>
  <c r="H332" i="11" a="1"/>
  <c r="H332" i="11" s="1"/>
  <c r="AQ84" i="11"/>
  <c r="AP84" i="11"/>
  <c r="G332" i="11" a="1"/>
  <c r="G332" i="11" s="1"/>
  <c r="AM84" i="11"/>
  <c r="AL84" i="11"/>
  <c r="AN84" i="11" s="1"/>
  <c r="Q331" i="11"/>
  <c r="O332" i="11"/>
  <c r="W229" i="8"/>
  <c r="AH228" i="8" l="1"/>
  <c r="AI228" i="8" s="1"/>
  <c r="L228" i="8" s="1"/>
  <c r="AB66" i="8"/>
  <c r="C221" i="8"/>
  <c r="C67" i="8"/>
  <c r="B221" i="8" a="1"/>
  <c r="B221" i="8" s="1"/>
  <c r="U220" i="8"/>
  <c r="L64" i="8" s="1"/>
  <c r="AC66" i="8" s="1"/>
  <c r="H233" i="8" a="1"/>
  <c r="H233" i="8" s="1"/>
  <c r="M232" i="8" s="1"/>
  <c r="AG230" i="8"/>
  <c r="AM70" i="8"/>
  <c r="N227" i="8"/>
  <c r="O227" i="8"/>
  <c r="P227" i="8"/>
  <c r="AF229" i="8"/>
  <c r="Q332" i="11"/>
  <c r="O333" i="11"/>
  <c r="AP85" i="11"/>
  <c r="G333" i="11" a="1"/>
  <c r="G333" i="11" s="1"/>
  <c r="AM85" i="11"/>
  <c r="AL85" i="11"/>
  <c r="AQ85" i="11"/>
  <c r="H333" i="11" a="1"/>
  <c r="H333" i="11" s="1"/>
  <c r="W230" i="8"/>
  <c r="AH229" i="8" l="1"/>
  <c r="AI229" i="8" s="1"/>
  <c r="L229" i="8" s="1"/>
  <c r="AB67" i="8"/>
  <c r="C222" i="8"/>
  <c r="C68" i="8"/>
  <c r="B222" i="8" a="1"/>
  <c r="B222" i="8" s="1"/>
  <c r="U221" i="8"/>
  <c r="L65" i="8" s="1"/>
  <c r="AC67" i="8" s="1"/>
  <c r="H234" i="8" a="1"/>
  <c r="H234" i="8" s="1"/>
  <c r="M233" i="8" s="1"/>
  <c r="AM72" i="8"/>
  <c r="AQ74" i="8" s="1" a="1"/>
  <c r="AQ74" i="8" s="1"/>
  <c r="P229" i="8"/>
  <c r="N229" i="8"/>
  <c r="O229" i="8"/>
  <c r="AQ72" i="8" a="1"/>
  <c r="AQ72" i="8" s="1"/>
  <c r="Y71" i="8"/>
  <c r="AF230" i="8"/>
  <c r="AM73" i="8"/>
  <c r="AQ75" i="8" s="1" a="1"/>
  <c r="AQ75" i="8" s="1"/>
  <c r="AM71" i="8"/>
  <c r="P228" i="8"/>
  <c r="O228" i="8"/>
  <c r="N228" i="8"/>
  <c r="AG231" i="8"/>
  <c r="AN85" i="11"/>
  <c r="AQ86" i="11"/>
  <c r="H334" i="11" a="1"/>
  <c r="H334" i="11" s="1"/>
  <c r="AP86" i="11"/>
  <c r="G334" i="11" a="1"/>
  <c r="G334" i="11" s="1"/>
  <c r="AM86" i="11"/>
  <c r="AL86" i="11"/>
  <c r="AN86" i="11" s="1"/>
  <c r="Q333" i="11"/>
  <c r="O334" i="11"/>
  <c r="W231" i="8"/>
  <c r="AH230" i="8" l="1"/>
  <c r="AI230" i="8" s="1"/>
  <c r="L230" i="8" s="1"/>
  <c r="AB68" i="8"/>
  <c r="C223" i="8"/>
  <c r="C69" i="8"/>
  <c r="U222" i="8"/>
  <c r="L66" i="8" s="1"/>
  <c r="AC68" i="8" s="1"/>
  <c r="B223" i="8" a="1"/>
  <c r="B223" i="8" s="1"/>
  <c r="H235" i="8" a="1"/>
  <c r="H235" i="8" s="1"/>
  <c r="M234" i="8" s="1"/>
  <c r="Y73" i="8"/>
  <c r="N230" i="8"/>
  <c r="AQ73" i="8" a="1"/>
  <c r="AQ73" i="8" s="1"/>
  <c r="Y72" i="8"/>
  <c r="AF231" i="8"/>
  <c r="AG232" i="8"/>
  <c r="O230" i="8"/>
  <c r="P230" i="8"/>
  <c r="Q334" i="11"/>
  <c r="O335" i="11"/>
  <c r="AP87" i="11"/>
  <c r="G335" i="11" a="1"/>
  <c r="G335" i="11" s="1"/>
  <c r="AM87" i="11"/>
  <c r="AL87" i="11"/>
  <c r="AQ87" i="11"/>
  <c r="H335" i="11" a="1"/>
  <c r="H335" i="11" s="1"/>
  <c r="W232" i="8"/>
  <c r="Y74" i="8"/>
  <c r="AH231" i="8" l="1"/>
  <c r="AI231" i="8" s="1"/>
  <c r="L231" i="8" s="1"/>
  <c r="AB69" i="8"/>
  <c r="C70" i="8"/>
  <c r="C224" i="8"/>
  <c r="B224" i="8" a="1"/>
  <c r="B224" i="8" s="1"/>
  <c r="U223" i="8"/>
  <c r="L67" i="8" s="1"/>
  <c r="AC69" i="8" s="1"/>
  <c r="H236" i="8" a="1"/>
  <c r="H236" i="8" s="1"/>
  <c r="M235" i="8" s="1"/>
  <c r="AG233" i="8"/>
  <c r="AF232" i="8"/>
  <c r="AN87" i="11"/>
  <c r="AQ88" i="11"/>
  <c r="H336" i="11" a="1"/>
  <c r="H336" i="11" s="1"/>
  <c r="AP88" i="11"/>
  <c r="G336" i="11" a="1"/>
  <c r="G336" i="11" s="1"/>
  <c r="AL88" i="11"/>
  <c r="AM88" i="11"/>
  <c r="Q335" i="11"/>
  <c r="O336" i="11"/>
  <c r="W233" i="8"/>
  <c r="AH232" i="8" l="1"/>
  <c r="AI232" i="8" s="1"/>
  <c r="L232" i="8" s="1"/>
  <c r="B225" i="8" a="1"/>
  <c r="B225" i="8" s="1"/>
  <c r="U224" i="8"/>
  <c r="L68" i="8" s="1"/>
  <c r="AC70" i="8" s="1"/>
  <c r="AB70" i="8"/>
  <c r="C225" i="8"/>
  <c r="C71" i="8"/>
  <c r="H237" i="8" a="1"/>
  <c r="H237" i="8" s="1"/>
  <c r="M236" i="8" s="1"/>
  <c r="AM74" i="8"/>
  <c r="P231" i="8"/>
  <c r="N231" i="8"/>
  <c r="O231" i="8"/>
  <c r="AF233" i="8"/>
  <c r="AG234" i="8"/>
  <c r="Q336" i="11"/>
  <c r="O337" i="11"/>
  <c r="AN88" i="11"/>
  <c r="AP89" i="11"/>
  <c r="G337" i="11" a="1"/>
  <c r="G337" i="11" s="1"/>
  <c r="AL89" i="11"/>
  <c r="AM89" i="11"/>
  <c r="H337" i="11" a="1"/>
  <c r="H337" i="11" s="1"/>
  <c r="AQ89" i="11"/>
  <c r="W234" i="8"/>
  <c r="AH233" i="8" l="1"/>
  <c r="AI233" i="8" s="1"/>
  <c r="L233" i="8" s="1"/>
  <c r="AB71" i="8"/>
  <c r="C226" i="8"/>
  <c r="C72" i="8"/>
  <c r="U225" i="8"/>
  <c r="L69" i="8" s="1"/>
  <c r="AC71" i="8" s="1"/>
  <c r="B226" i="8" a="1"/>
  <c r="B226" i="8" s="1"/>
  <c r="H238" i="8" a="1"/>
  <c r="H238" i="8" s="1"/>
  <c r="M237" i="8" s="1"/>
  <c r="AF234" i="8"/>
  <c r="AG235" i="8"/>
  <c r="AM75" i="8"/>
  <c r="P232" i="8"/>
  <c r="N232" i="8"/>
  <c r="O232" i="8"/>
  <c r="AQ76" i="8" a="1"/>
  <c r="AQ76" i="8" s="1"/>
  <c r="Y75" i="8"/>
  <c r="AN89" i="11"/>
  <c r="AQ90" i="11"/>
  <c r="H338" i="11" a="1"/>
  <c r="H338" i="11" s="1"/>
  <c r="AP90" i="11"/>
  <c r="G338" i="11" a="1"/>
  <c r="G338" i="11" s="1"/>
  <c r="AM90" i="11"/>
  <c r="AL90" i="11"/>
  <c r="AN90" i="11" s="1"/>
  <c r="Q337" i="11"/>
  <c r="O338" i="11"/>
  <c r="W235" i="8"/>
  <c r="AH234" i="8" l="1"/>
  <c r="AI234" i="8" s="1"/>
  <c r="L234" i="8" s="1"/>
  <c r="AB72" i="8"/>
  <c r="C73" i="8"/>
  <c r="C227" i="8"/>
  <c r="B227" i="8" a="1"/>
  <c r="B227" i="8" s="1"/>
  <c r="U226" i="8"/>
  <c r="L70" i="8" s="1"/>
  <c r="AC72" i="8" s="1"/>
  <c r="H239" i="8" a="1"/>
  <c r="H239" i="8" s="1"/>
  <c r="M238" i="8" s="1"/>
  <c r="AG236" i="8"/>
  <c r="AM76" i="8"/>
  <c r="P233" i="8"/>
  <c r="N233" i="8"/>
  <c r="O233" i="8"/>
  <c r="AF235" i="8"/>
  <c r="AQ77" i="8" a="1"/>
  <c r="AQ77" i="8" s="1"/>
  <c r="Y76" i="8"/>
  <c r="Q338" i="11"/>
  <c r="O339" i="11"/>
  <c r="AP91" i="11"/>
  <c r="G339" i="11" a="1"/>
  <c r="G339" i="11" s="1"/>
  <c r="AL91" i="11"/>
  <c r="AM91" i="11"/>
  <c r="AQ91" i="11"/>
  <c r="H339" i="11" a="1"/>
  <c r="H339" i="11" s="1"/>
  <c r="W236" i="8"/>
  <c r="AH235" i="8" l="1"/>
  <c r="AI235" i="8" s="1"/>
  <c r="L235" i="8" s="1"/>
  <c r="B228" i="8" a="1"/>
  <c r="B228" i="8" s="1"/>
  <c r="U227" i="8"/>
  <c r="L71" i="8" s="1"/>
  <c r="AC73" i="8" s="1"/>
  <c r="AB73" i="8"/>
  <c r="C74" i="8"/>
  <c r="C228" i="8"/>
  <c r="H240" i="8" a="1"/>
  <c r="H240" i="8" s="1"/>
  <c r="M239" i="8" s="1"/>
  <c r="AM78" i="8"/>
  <c r="AQ80" i="8" s="1" a="1"/>
  <c r="AQ80" i="8" s="1"/>
  <c r="P235" i="8"/>
  <c r="N235" i="8"/>
  <c r="O235" i="8"/>
  <c r="AQ78" i="8" a="1"/>
  <c r="AQ78" i="8" s="1"/>
  <c r="Y77" i="8"/>
  <c r="AM77" i="8"/>
  <c r="P234" i="8"/>
  <c r="O234" i="8"/>
  <c r="N234" i="8"/>
  <c r="AF236" i="8"/>
  <c r="AG237" i="8"/>
  <c r="AQ92" i="11"/>
  <c r="H340" i="11" a="1"/>
  <c r="H340" i="11" s="1"/>
  <c r="AN91" i="11"/>
  <c r="AP92" i="11"/>
  <c r="G340" i="11" a="1"/>
  <c r="G340" i="11" s="1"/>
  <c r="AM92" i="11"/>
  <c r="AL92" i="11"/>
  <c r="Q339" i="11"/>
  <c r="O340" i="11"/>
  <c r="W237" i="8"/>
  <c r="AH236" i="8" l="1"/>
  <c r="AI236" i="8" s="1"/>
  <c r="L236" i="8" s="1"/>
  <c r="AB74" i="8"/>
  <c r="C229" i="8"/>
  <c r="C75" i="8"/>
  <c r="B229" i="8" a="1"/>
  <c r="B229" i="8" s="1"/>
  <c r="U228" i="8"/>
  <c r="L72" i="8" s="1"/>
  <c r="AC74" i="8" s="1"/>
  <c r="H241" i="8" a="1"/>
  <c r="H241" i="8" s="1"/>
  <c r="M240" i="8" s="1"/>
  <c r="Y79" i="8"/>
  <c r="AF237" i="8"/>
  <c r="AG238" i="8"/>
  <c r="AQ79" i="8" a="1"/>
  <c r="AQ79" i="8" s="1"/>
  <c r="Y78" i="8"/>
  <c r="AB77" i="8"/>
  <c r="AN92" i="11"/>
  <c r="AP93" i="11"/>
  <c r="G341" i="11" a="1"/>
  <c r="G341" i="11" s="1"/>
  <c r="AM93" i="11"/>
  <c r="AL93" i="11"/>
  <c r="AN93" i="11" s="1"/>
  <c r="AQ93" i="11"/>
  <c r="H341" i="11" a="1"/>
  <c r="H341" i="11" s="1"/>
  <c r="Q340" i="11"/>
  <c r="O341" i="11"/>
  <c r="AH237" i="8" l="1"/>
  <c r="AI237" i="8" s="1"/>
  <c r="L237" i="8" s="1"/>
  <c r="AB75" i="8"/>
  <c r="C76" i="8"/>
  <c r="C230" i="8"/>
  <c r="B230" i="8" a="1"/>
  <c r="B230" i="8" s="1"/>
  <c r="U229" i="8"/>
  <c r="L73" i="8" s="1"/>
  <c r="AC75" i="8" s="1"/>
  <c r="H242" i="8" a="1"/>
  <c r="H242" i="8" s="1"/>
  <c r="M241" i="8" s="1"/>
  <c r="AG239" i="8"/>
  <c r="AF238" i="8"/>
  <c r="AM79" i="8"/>
  <c r="O236" i="8"/>
  <c r="P236" i="8"/>
  <c r="N236" i="8"/>
  <c r="AQ94" i="11"/>
  <c r="H342" i="11" a="1"/>
  <c r="H342" i="11" s="1"/>
  <c r="AP94" i="11"/>
  <c r="G342" i="11" a="1"/>
  <c r="G342" i="11" s="1"/>
  <c r="AL94" i="11"/>
  <c r="AM94" i="11"/>
  <c r="Q341" i="11"/>
  <c r="O342" i="11"/>
  <c r="W239" i="8"/>
  <c r="AH238" i="8" l="1"/>
  <c r="AI238" i="8" s="1"/>
  <c r="L238" i="8" s="1"/>
  <c r="B231" i="8" a="1"/>
  <c r="B231" i="8" s="1"/>
  <c r="U230" i="8"/>
  <c r="L74" i="8" s="1"/>
  <c r="AC76" i="8" s="1"/>
  <c r="AB76" i="8"/>
  <c r="C77" i="8"/>
  <c r="C231" i="8"/>
  <c r="H243" i="8" a="1"/>
  <c r="H243" i="8" s="1"/>
  <c r="M242" i="8" s="1"/>
  <c r="AQ81" i="8" a="1"/>
  <c r="AQ81" i="8" s="1"/>
  <c r="Y80" i="8"/>
  <c r="W238" i="8"/>
  <c r="AF239" i="8"/>
  <c r="AM80" i="8"/>
  <c r="O237" i="8"/>
  <c r="P237" i="8"/>
  <c r="N237" i="8"/>
  <c r="AG240" i="8"/>
  <c r="Q342" i="11"/>
  <c r="O343" i="11"/>
  <c r="AN94" i="11"/>
  <c r="AP95" i="11"/>
  <c r="G343" i="11" a="1"/>
  <c r="G343" i="11" s="1"/>
  <c r="G344" i="11" s="1" a="1"/>
  <c r="G344" i="11" s="1"/>
  <c r="G345" i="11" s="1"/>
  <c r="AM95" i="11"/>
  <c r="AL95" i="11"/>
  <c r="AQ95" i="11"/>
  <c r="H343" i="11" a="1"/>
  <c r="H343" i="11" s="1"/>
  <c r="H344" i="11" s="1" a="1"/>
  <c r="H344" i="11" s="1"/>
  <c r="H345" i="11" s="1"/>
  <c r="W240" i="8"/>
  <c r="AH239" i="8" l="1"/>
  <c r="AI239" i="8" s="1"/>
  <c r="L239" i="8" s="1"/>
  <c r="C232" i="8"/>
  <c r="C78" i="8"/>
  <c r="U231" i="8"/>
  <c r="L75" i="8" s="1"/>
  <c r="AC77" i="8" s="1"/>
  <c r="B232" i="8" a="1"/>
  <c r="B232" i="8" s="1"/>
  <c r="H244" i="8" a="1"/>
  <c r="H244" i="8" s="1"/>
  <c r="M243" i="8" s="1"/>
  <c r="AM82" i="8"/>
  <c r="AQ84" i="8" s="1" a="1"/>
  <c r="AQ84" i="8" s="1"/>
  <c r="P239" i="8"/>
  <c r="N239" i="8"/>
  <c r="O239" i="8"/>
  <c r="AM81" i="8"/>
  <c r="O238" i="8"/>
  <c r="N238" i="8"/>
  <c r="P238" i="8"/>
  <c r="AG241" i="8"/>
  <c r="AF240" i="8"/>
  <c r="AQ82" i="8" a="1"/>
  <c r="AQ82" i="8" s="1"/>
  <c r="Y81" i="8"/>
  <c r="AN95" i="11"/>
  <c r="G348" i="11"/>
  <c r="G349" i="11"/>
  <c r="Q343" i="11"/>
  <c r="O344" i="11"/>
  <c r="H349" i="11"/>
  <c r="H348" i="11"/>
  <c r="W241" i="8"/>
  <c r="AH240" i="8" l="1"/>
  <c r="AI240" i="8" s="1"/>
  <c r="L240" i="8" s="1"/>
  <c r="AB78" i="8"/>
  <c r="C233" i="8"/>
  <c r="C79" i="8"/>
  <c r="B233" i="8" a="1"/>
  <c r="B233" i="8" s="1"/>
  <c r="U232" i="8"/>
  <c r="L76" i="8" s="1"/>
  <c r="AC78" i="8" s="1"/>
  <c r="H245" i="8" a="1"/>
  <c r="H245" i="8" s="1"/>
  <c r="M244" i="8" s="1"/>
  <c r="Y83" i="8"/>
  <c r="AF241" i="8"/>
  <c r="AQ83" i="8" a="1"/>
  <c r="AQ83" i="8" s="1"/>
  <c r="Y82" i="8"/>
  <c r="AG242" i="8"/>
  <c r="Q285" i="11"/>
  <c r="Q286" i="11"/>
  <c r="O345" i="11"/>
  <c r="Q345" i="11" s="1"/>
  <c r="Q344" i="11"/>
  <c r="J349" i="11"/>
  <c r="P286" i="11"/>
  <c r="P285" i="11"/>
  <c r="T285" i="11" s="1"/>
  <c r="J348" i="11"/>
  <c r="W242" i="8"/>
  <c r="AH241" i="8" l="1"/>
  <c r="AI241" i="8" s="1"/>
  <c r="L241" i="8" s="1"/>
  <c r="AB79" i="8"/>
  <c r="C234" i="8"/>
  <c r="C80" i="8"/>
  <c r="B234" i="8" a="1"/>
  <c r="B234" i="8" s="1"/>
  <c r="U233" i="8"/>
  <c r="L77" i="8" s="1"/>
  <c r="AC79" i="8" s="1"/>
  <c r="H246" i="8" a="1"/>
  <c r="H246" i="8" s="1"/>
  <c r="M245" i="8" s="1"/>
  <c r="AF242" i="8"/>
  <c r="AG243" i="8"/>
  <c r="AM83" i="8"/>
  <c r="P240" i="8"/>
  <c r="O240" i="8"/>
  <c r="N240" i="8"/>
  <c r="P287" i="11"/>
  <c r="T286" i="11"/>
  <c r="Q287" i="11"/>
  <c r="W243" i="8"/>
  <c r="AH242" i="8" l="1"/>
  <c r="AI242" i="8" s="1"/>
  <c r="L242" i="8" s="1"/>
  <c r="AB80" i="8"/>
  <c r="C235" i="8"/>
  <c r="C81" i="8"/>
  <c r="B235" i="8" a="1"/>
  <c r="B235" i="8" s="1"/>
  <c r="U234" i="8"/>
  <c r="L78" i="8" s="1"/>
  <c r="AC80" i="8" s="1"/>
  <c r="H247" i="8" a="1"/>
  <c r="H247" i="8" s="1"/>
  <c r="M246" i="8" s="1"/>
  <c r="AQ85" i="8" a="1"/>
  <c r="AQ85" i="8" s="1"/>
  <c r="Y84" i="8"/>
  <c r="AG244" i="8"/>
  <c r="AF243" i="8"/>
  <c r="AM84" i="8"/>
  <c r="P241" i="8"/>
  <c r="N241" i="8"/>
  <c r="O241" i="8"/>
  <c r="Q288" i="11"/>
  <c r="W244" i="8"/>
  <c r="AH243" i="8" l="1"/>
  <c r="AI243" i="8" s="1"/>
  <c r="L243" i="8" s="1"/>
  <c r="AB81" i="8"/>
  <c r="C236" i="8"/>
  <c r="C82" i="8"/>
  <c r="U235" i="8"/>
  <c r="L79" i="8" s="1"/>
  <c r="AC81" i="8" s="1"/>
  <c r="B236" i="8" a="1"/>
  <c r="B236" i="8" s="1"/>
  <c r="H248" i="8" a="1"/>
  <c r="H248" i="8" s="1"/>
  <c r="M247" i="8" s="1"/>
  <c r="AF244" i="8"/>
  <c r="AQ86" i="8" a="1"/>
  <c r="AQ86" i="8" s="1"/>
  <c r="Y85" i="8"/>
  <c r="AM85" i="8"/>
  <c r="P242" i="8"/>
  <c r="N242" i="8"/>
  <c r="O242" i="8"/>
  <c r="AG245" i="8"/>
  <c r="R286" i="11"/>
  <c r="U286" i="11" s="1"/>
  <c r="R285" i="11"/>
  <c r="U285" i="11" s="1"/>
  <c r="W245" i="8"/>
  <c r="AH244" i="8" l="1"/>
  <c r="AI244" i="8" s="1"/>
  <c r="L244" i="8" s="1"/>
  <c r="AB82" i="8"/>
  <c r="C83" i="8"/>
  <c r="C237" i="8"/>
  <c r="B237" i="8" a="1"/>
  <c r="B237" i="8" s="1"/>
  <c r="U236" i="8"/>
  <c r="L80" i="8" s="1"/>
  <c r="AC82" i="8" s="1"/>
  <c r="H249" i="8" a="1"/>
  <c r="H249" i="8" s="1"/>
  <c r="M248" i="8" s="1"/>
  <c r="AM86" i="8"/>
  <c r="O243" i="8"/>
  <c r="P243" i="8"/>
  <c r="N243" i="8"/>
  <c r="AF245" i="8"/>
  <c r="AG246" i="8"/>
  <c r="AQ87" i="8" a="1"/>
  <c r="AQ87" i="8" s="1"/>
  <c r="Y86" i="8"/>
  <c r="W246" i="8"/>
  <c r="AH245" i="8" l="1"/>
  <c r="AI245" i="8" s="1"/>
  <c r="L245" i="8" s="1"/>
  <c r="B238" i="8" a="1"/>
  <c r="B238" i="8" s="1"/>
  <c r="U237" i="8"/>
  <c r="L81" i="8" s="1"/>
  <c r="AC83" i="8" s="1"/>
  <c r="AB83" i="8"/>
  <c r="C84" i="8"/>
  <c r="C238" i="8"/>
  <c r="H250" i="8" a="1"/>
  <c r="H250" i="8" s="1"/>
  <c r="M249" i="8" s="1"/>
  <c r="AF246" i="8"/>
  <c r="AM87" i="8"/>
  <c r="P244" i="8"/>
  <c r="N244" i="8"/>
  <c r="O244" i="8"/>
  <c r="AG247" i="8"/>
  <c r="AQ88" i="8" a="1"/>
  <c r="AQ88" i="8" s="1"/>
  <c r="Y87" i="8"/>
  <c r="W247" i="8"/>
  <c r="AH246" i="8" l="1"/>
  <c r="AI246" i="8" s="1"/>
  <c r="L246" i="8" s="1"/>
  <c r="AB84" i="8"/>
  <c r="C239" i="8"/>
  <c r="C85" i="8"/>
  <c r="B239" i="8" a="1"/>
  <c r="B239" i="8" s="1"/>
  <c r="U238" i="8"/>
  <c r="L82" i="8" s="1"/>
  <c r="AC84" i="8" s="1"/>
  <c r="H251" i="8" a="1"/>
  <c r="H251" i="8" s="1"/>
  <c r="M250" i="8" s="1"/>
  <c r="AQ89" i="8" a="1"/>
  <c r="AQ89" i="8" s="1"/>
  <c r="Y88" i="8"/>
  <c r="AM88" i="8"/>
  <c r="P245" i="8"/>
  <c r="N245" i="8"/>
  <c r="O245" i="8"/>
  <c r="AF247" i="8"/>
  <c r="AG248" i="8"/>
  <c r="W248" i="8"/>
  <c r="AH247" i="8" l="1"/>
  <c r="AI247" i="8" s="1"/>
  <c r="L247" i="8" s="1"/>
  <c r="AB85" i="8"/>
  <c r="C240" i="8"/>
  <c r="C86" i="8"/>
  <c r="B240" i="8" a="1"/>
  <c r="B240" i="8" s="1"/>
  <c r="U239" i="8"/>
  <c r="L83" i="8" s="1"/>
  <c r="AC85" i="8" s="1"/>
  <c r="H252" i="8" a="1"/>
  <c r="H252" i="8" s="1"/>
  <c r="M251" i="8" s="1"/>
  <c r="AM90" i="8"/>
  <c r="AQ92" i="8" s="1" a="1"/>
  <c r="AQ92" i="8" s="1"/>
  <c r="N247" i="8"/>
  <c r="O247" i="8"/>
  <c r="P247" i="8"/>
  <c r="AM89" i="8"/>
  <c r="N246" i="8"/>
  <c r="P246" i="8"/>
  <c r="O246" i="8"/>
  <c r="AQ90" i="8" a="1"/>
  <c r="AQ90" i="8" s="1"/>
  <c r="Y89" i="8"/>
  <c r="AG249" i="8"/>
  <c r="AF248" i="8"/>
  <c r="W249" i="8"/>
  <c r="AH248" i="8" l="1"/>
  <c r="AI248" i="8" s="1"/>
  <c r="L248" i="8" s="1"/>
  <c r="AB86" i="8"/>
  <c r="C87" i="8"/>
  <c r="C241" i="8"/>
  <c r="B241" i="8" a="1"/>
  <c r="B241" i="8" s="1"/>
  <c r="U240" i="8"/>
  <c r="L84" i="8" s="1"/>
  <c r="AC86" i="8" s="1"/>
  <c r="H253" i="8" a="1"/>
  <c r="H253" i="8" s="1"/>
  <c r="M252" i="8" s="1"/>
  <c r="Y91" i="8"/>
  <c r="AM91" i="8"/>
  <c r="Y92" i="8" s="1"/>
  <c r="P248" i="8"/>
  <c r="O248" i="8"/>
  <c r="N248" i="8"/>
  <c r="AF249" i="8"/>
  <c r="AQ91" i="8" a="1"/>
  <c r="AQ91" i="8" s="1"/>
  <c r="Y90" i="8"/>
  <c r="AG250" i="8"/>
  <c r="W250" i="8"/>
  <c r="AH249" i="8" l="1"/>
  <c r="AI249" i="8" s="1"/>
  <c r="L249" i="8" s="1"/>
  <c r="B242" i="8" a="1"/>
  <c r="B242" i="8" s="1"/>
  <c r="U241" i="8"/>
  <c r="L85" i="8" s="1"/>
  <c r="AC87" i="8" s="1"/>
  <c r="AB87" i="8"/>
  <c r="C88" i="8"/>
  <c r="C242" i="8"/>
  <c r="AQ93" i="8" a="1"/>
  <c r="AQ93" i="8" s="1"/>
  <c r="AM92" i="8"/>
  <c r="AQ94" i="8" s="1" a="1"/>
  <c r="AQ94" i="8" s="1"/>
  <c r="O249" i="8"/>
  <c r="P249" i="8"/>
  <c r="N249" i="8"/>
  <c r="AG251" i="8"/>
  <c r="AF250" i="8"/>
  <c r="W251" i="8"/>
  <c r="AH250" i="8" l="1"/>
  <c r="AI250" i="8" s="1"/>
  <c r="L250" i="8" s="1"/>
  <c r="AB88" i="8"/>
  <c r="C89" i="8"/>
  <c r="C243" i="8"/>
  <c r="B243" i="8" a="1"/>
  <c r="B243" i="8" s="1"/>
  <c r="U242" i="8"/>
  <c r="L86" i="8" s="1"/>
  <c r="AC88" i="8" s="1"/>
  <c r="Y93" i="8"/>
  <c r="AM93" i="8"/>
  <c r="AQ95" i="8" s="1" a="1"/>
  <c r="AQ95" i="8" s="1"/>
  <c r="P250" i="8"/>
  <c r="O250" i="8"/>
  <c r="N250" i="8"/>
  <c r="AG252" i="8"/>
  <c r="AF251" i="8"/>
  <c r="P252" i="8"/>
  <c r="N252" i="8"/>
  <c r="O252" i="8"/>
  <c r="W252" i="8"/>
  <c r="AH251" i="8" l="1"/>
  <c r="AI251" i="8" s="1"/>
  <c r="L251" i="8" s="1"/>
  <c r="U243" i="8"/>
  <c r="L87" i="8" s="1"/>
  <c r="AC89" i="8" s="1"/>
  <c r="B244" i="8" a="1"/>
  <c r="B244" i="8" s="1"/>
  <c r="AB89" i="8"/>
  <c r="C90" i="8"/>
  <c r="C244" i="8"/>
  <c r="Y94" i="8"/>
  <c r="AM94" i="8"/>
  <c r="AQ96" i="8" s="1" a="1"/>
  <c r="AQ96" i="8" s="1"/>
  <c r="O251" i="8"/>
  <c r="O190" i="8" s="1"/>
  <c r="T189" i="8" s="1"/>
  <c r="P251" i="8"/>
  <c r="P190" i="8" s="1"/>
  <c r="O187" i="8" s="1"/>
  <c r="N251" i="8"/>
  <c r="N190" i="8" s="1"/>
  <c r="O188" i="8" s="1"/>
  <c r="AG253" i="8"/>
  <c r="M47" i="7"/>
  <c r="M45" i="7"/>
  <c r="AF252" i="8"/>
  <c r="AF253" i="8"/>
  <c r="AH253" i="8" l="1"/>
  <c r="AI253" i="8" s="1"/>
  <c r="L253" i="8" s="1"/>
  <c r="AH252" i="8"/>
  <c r="AI252" i="8" s="1"/>
  <c r="L252" i="8" s="1"/>
  <c r="B245" i="8" a="1"/>
  <c r="B245" i="8" s="1"/>
  <c r="U244" i="8"/>
  <c r="L88" i="8" s="1"/>
  <c r="AC90" i="8" s="1"/>
  <c r="AB90" i="8"/>
  <c r="C245" i="8"/>
  <c r="C91" i="8"/>
  <c r="Y95" i="8"/>
  <c r="L50" i="7"/>
  <c r="M46" i="7" s="1"/>
  <c r="J50" i="7"/>
  <c r="AM95" i="8"/>
  <c r="O186" i="8"/>
  <c r="B246" i="8" l="1" a="1"/>
  <c r="B246" i="8" s="1"/>
  <c r="U245" i="8"/>
  <c r="L89" i="8" s="1"/>
  <c r="AC91" i="8" s="1"/>
  <c r="AB91" i="8"/>
  <c r="C246" i="8"/>
  <c r="C92" i="8"/>
  <c r="K50" i="7"/>
  <c r="I54" i="7" s="1"/>
  <c r="L52" i="7" s="1"/>
  <c r="Y96" i="8"/>
  <c r="AM23" i="8"/>
  <c r="D178" i="8" s="1"/>
  <c r="B247" i="8" l="1" a="1"/>
  <c r="B247" i="8" s="1"/>
  <c r="U246" i="8"/>
  <c r="L90" i="8" s="1"/>
  <c r="AC92" i="8" s="1"/>
  <c r="AB92" i="8"/>
  <c r="C93" i="8"/>
  <c r="C247" i="8"/>
  <c r="K51" i="7"/>
  <c r="N58" i="7" s="1"/>
  <c r="N46" i="7"/>
  <c r="L58" i="7" s="1"/>
  <c r="L54" i="7"/>
  <c r="M54" i="7" s="1"/>
  <c r="N50" i="7"/>
  <c r="O53" i="7" s="1"/>
  <c r="N53" i="7" s="1"/>
  <c r="H112" i="8"/>
  <c r="AQ128" i="8"/>
  <c r="J112" i="8"/>
  <c r="F104" i="8"/>
  <c r="X204" i="8" s="1"/>
  <c r="I112" i="8"/>
  <c r="AQ126" i="8"/>
  <c r="S33" i="8"/>
  <c r="AS126" i="8"/>
  <c r="AQ127" i="8"/>
  <c r="F112" i="8"/>
  <c r="AO126" i="8"/>
  <c r="AO128" i="8"/>
  <c r="Z204" i="8" l="1"/>
  <c r="Y204" i="8"/>
  <c r="AA204" i="8"/>
  <c r="AB93" i="8"/>
  <c r="C94" i="8"/>
  <c r="C248" i="8"/>
  <c r="B248" i="8" a="1"/>
  <c r="B248" i="8" s="1"/>
  <c r="U247" i="8"/>
  <c r="L91" i="8" s="1"/>
  <c r="AC93" i="8" s="1"/>
  <c r="X202" i="8"/>
  <c r="Y202" i="8" s="1"/>
  <c r="X203" i="8"/>
  <c r="X200" i="8"/>
  <c r="Z200" i="8" s="1"/>
  <c r="X201" i="8"/>
  <c r="X198" i="8"/>
  <c r="Y198" i="8" s="1"/>
  <c r="X199" i="8"/>
  <c r="X196" i="8"/>
  <c r="Y196" i="8" s="1"/>
  <c r="X197" i="8"/>
  <c r="M57" i="7"/>
  <c r="N59" i="7" s="1"/>
  <c r="N61" i="7" s="1"/>
  <c r="X194" i="8"/>
  <c r="Y194" i="8" s="1"/>
  <c r="X195" i="8"/>
  <c r="L47" i="7"/>
  <c r="K74" i="7" s="1"/>
  <c r="AI56" i="8" s="1"/>
  <c r="J49" i="7"/>
  <c r="I49" i="7" s="1"/>
  <c r="N54" i="7"/>
  <c r="L45" i="7" s="1"/>
  <c r="K67" i="7" s="1"/>
  <c r="AI49" i="8" s="1"/>
  <c r="S99" i="11"/>
  <c r="P105" i="11" s="1"/>
  <c r="AH35" i="8"/>
  <c r="AP119" i="8"/>
  <c r="AP120" i="8" s="1"/>
  <c r="AN126" i="8" s="1"/>
  <c r="AU124" i="8" s="1"/>
  <c r="AN141" i="8" s="1"/>
  <c r="G111" i="8"/>
  <c r="AK123" i="8"/>
  <c r="X191" i="8"/>
  <c r="X192" i="8"/>
  <c r="X193" i="8"/>
  <c r="E112" i="8"/>
  <c r="G112" i="8" s="1"/>
  <c r="J111" i="8"/>
  <c r="AB97" i="8"/>
  <c r="C253" i="8"/>
  <c r="U253" i="8" s="1"/>
  <c r="L97" i="8" s="1"/>
  <c r="AB204" i="8" l="1"/>
  <c r="AC204" i="8"/>
  <c r="B249" i="8" a="1"/>
  <c r="B249" i="8" s="1"/>
  <c r="U248" i="8"/>
  <c r="L92" i="8" s="1"/>
  <c r="AC94" i="8" s="1"/>
  <c r="AB94" i="8"/>
  <c r="C95" i="8"/>
  <c r="C249" i="8"/>
  <c r="Z202" i="8"/>
  <c r="AA202" i="8" s="1"/>
  <c r="Z203" i="8"/>
  <c r="Y203" i="8"/>
  <c r="AA203" i="8" s="1"/>
  <c r="Y200" i="8"/>
  <c r="AA200" i="8" s="1"/>
  <c r="AC200" i="8" s="1"/>
  <c r="Z201" i="8"/>
  <c r="Y201" i="8"/>
  <c r="AA201" i="8" s="1"/>
  <c r="Z198" i="8"/>
  <c r="AA198" i="8" s="1"/>
  <c r="AB198" i="8" s="1"/>
  <c r="Z199" i="8"/>
  <c r="Y199" i="8"/>
  <c r="Z196" i="8"/>
  <c r="AA196" i="8" s="1"/>
  <c r="Z197" i="8"/>
  <c r="Y197" i="8"/>
  <c r="K47" i="7"/>
  <c r="G75" i="7"/>
  <c r="AE57" i="8" s="1"/>
  <c r="L59" i="7"/>
  <c r="L61" i="7" s="1"/>
  <c r="L46" i="7"/>
  <c r="Z194" i="8"/>
  <c r="AA194" i="8" s="1"/>
  <c r="Y195" i="8"/>
  <c r="Z195" i="8"/>
  <c r="L49" i="7"/>
  <c r="Y192" i="8"/>
  <c r="Z192" i="8"/>
  <c r="Y191" i="8"/>
  <c r="Z191" i="8"/>
  <c r="Z193" i="8"/>
  <c r="Y193" i="8"/>
  <c r="AR112" i="8"/>
  <c r="AN128" i="8"/>
  <c r="AU125" i="8" s="1"/>
  <c r="AN142" i="8" s="1"/>
  <c r="AL123" i="8"/>
  <c r="AN127" i="8" s="1"/>
  <c r="P103" i="11"/>
  <c r="P106" i="11" s="1"/>
  <c r="AN120" i="8"/>
  <c r="AK34" i="8"/>
  <c r="AH42" i="8"/>
  <c r="B250" i="8" l="1" a="1"/>
  <c r="B250" i="8" s="1"/>
  <c r="U249" i="8"/>
  <c r="L93" i="8" s="1"/>
  <c r="AC95" i="8" s="1"/>
  <c r="AB95" i="8"/>
  <c r="C250" i="8"/>
  <c r="C96" i="8"/>
  <c r="AC202" i="8"/>
  <c r="AB202" i="8"/>
  <c r="AB203" i="8"/>
  <c r="AC203" i="8"/>
  <c r="AB200" i="8"/>
  <c r="AA197" i="8"/>
  <c r="AC197" i="8" s="1"/>
  <c r="AB201" i="8"/>
  <c r="AC201" i="8"/>
  <c r="AA199" i="8"/>
  <c r="AB199" i="8" s="1"/>
  <c r="AC198" i="8"/>
  <c r="AB196" i="8"/>
  <c r="AC196" i="8"/>
  <c r="N43" i="7"/>
  <c r="AA195" i="8"/>
  <c r="AC195" i="8" s="1"/>
  <c r="AC194" i="8"/>
  <c r="AB194" i="8"/>
  <c r="I75" i="7"/>
  <c r="AG57" i="8" s="1"/>
  <c r="K49" i="7"/>
  <c r="AA193" i="8"/>
  <c r="AB193" i="8" s="1"/>
  <c r="F111" i="8"/>
  <c r="I111" i="8"/>
  <c r="E106" i="11"/>
  <c r="H106" i="11"/>
  <c r="AA191" i="8"/>
  <c r="S103" i="11"/>
  <c r="P107" i="11"/>
  <c r="AA192" i="8"/>
  <c r="AB197" i="8" l="1"/>
  <c r="AB96" i="8"/>
  <c r="C251" i="8"/>
  <c r="C97" i="8"/>
  <c r="C252" i="8" s="1"/>
  <c r="B251" i="8" a="1"/>
  <c r="B251" i="8" s="1"/>
  <c r="U250" i="8"/>
  <c r="L94" i="8" s="1"/>
  <c r="AC199" i="8"/>
  <c r="AB195" i="8"/>
  <c r="AC193" i="8"/>
  <c r="AB192" i="8"/>
  <c r="AC192" i="8"/>
  <c r="D106" i="11"/>
  <c r="H111" i="8"/>
  <c r="G106" i="11"/>
  <c r="E111" i="8"/>
  <c r="S106" i="11"/>
  <c r="F114" i="11" s="1"/>
  <c r="H119" i="8"/>
  <c r="S104" i="11"/>
  <c r="AB191" i="8"/>
  <c r="AA256" i="8"/>
  <c r="M111" i="8" s="1"/>
  <c r="AC191" i="8"/>
  <c r="AP127" i="8"/>
  <c r="AP128" i="8" s="1"/>
  <c r="AR126" i="8"/>
  <c r="AR127" i="8" s="1"/>
  <c r="C187" i="8" l="1"/>
  <c r="O183" i="8" s="1"/>
  <c r="AC96" i="8"/>
  <c r="B253" i="8" a="1"/>
  <c r="B253" i="8" s="1"/>
  <c r="U252" i="8"/>
  <c r="L96" i="8" s="1"/>
  <c r="B252" i="8" a="1"/>
  <c r="B252" i="8" s="1"/>
  <c r="U251" i="8"/>
  <c r="L95" i="8" s="1"/>
  <c r="AC97" i="8" s="1"/>
  <c r="AN121" i="8"/>
  <c r="AL116" i="8"/>
  <c r="K111" i="8"/>
  <c r="F114" i="8"/>
  <c r="L111" i="8"/>
  <c r="K118" i="8"/>
  <c r="AR119" i="8" s="1"/>
  <c r="D115" i="11"/>
  <c r="AP126" i="8"/>
  <c r="AX130" i="8" l="1"/>
  <c r="H106" i="8"/>
  <c r="K116" i="8" s="1"/>
  <c r="AH124" i="8" s="1"/>
  <c r="AR113" i="8"/>
  <c r="AO127" i="8"/>
  <c r="AS127" i="8" s="1"/>
  <c r="AO133" i="8"/>
  <c r="AO134" i="8" s="1"/>
  <c r="AP137" i="8" s="1"/>
  <c r="AR133" i="8"/>
  <c r="AM136" i="8"/>
  <c r="AM137" i="8" s="1"/>
  <c r="AH127" i="8" l="1"/>
  <c r="AI125" i="8"/>
  <c r="AI128" i="8"/>
  <c r="AI126" i="8"/>
  <c r="AM114" i="8"/>
  <c r="AH126" i="8"/>
  <c r="AH125" i="8" l="1"/>
  <c r="AX126" i="8"/>
  <c r="AY126" i="8" s="1"/>
  <c r="AL127" i="8"/>
  <c r="AL126" i="8"/>
  <c r="AH128" i="8"/>
  <c r="AX127" i="8"/>
  <c r="AY127" i="8" s="1"/>
  <c r="AP133" i="8"/>
  <c r="AZ127" i="8" l="1"/>
  <c r="AM127" i="8"/>
  <c r="AI134" i="8"/>
  <c r="AJ134" i="8"/>
  <c r="AZ126" i="8"/>
  <c r="AM126" i="8"/>
  <c r="AJ133" i="8"/>
  <c r="AI133" i="8"/>
  <c r="AS133" i="8"/>
  <c r="AS135" i="8" s="1"/>
  <c r="AN136" i="8" s="1"/>
  <c r="AP134" i="8"/>
  <c r="AM124" i="8" l="1"/>
  <c r="AN137" i="8"/>
  <c r="AP136" i="8"/>
  <c r="AQ137" i="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tc={DFE4CABA-BA31-48A1-8FB1-C74E3550DEBC}</author>
  </authors>
  <commentList>
    <comment ref="AI4" authorId="0" shapeId="0" xr:uid="{DFE4CABA-BA31-48A1-8FB1-C74E3550DEBC}">
      <text>
        <t>[Commento in thread]
La versione di Excel in uso consente di leggere questo commento in thread, ma tutte le modifiche a esso apportate verranno rimosse se il file viene aperto in una versione più recente di Excel. Ulteriori informazioni: https://go.microsoft.com/fwlink/?linkid=870924
Commento:
Prendere ID dal file di testo dentro la cartella delle curve di capacità degli ancoranti</t>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F2F88F5D-29C6-46C4-AA00-DAC80952C913}" keepAlive="1" name="Query - Table 0" description="Connessione alla query 'Table 0' nella cartella di lavoro." type="5" refreshedVersion="8" background="1" refreshOnLoad="1" saveData="1">
    <dbPr connection="Provider=Microsoft.Mashup.OleDb.1;Data Source=$Workbook$;Location=&quot;Table 0&quot;;Extended Properties=&quot;&quot;" command="SELECT * FROM [Table 0]"/>
  </connection>
</connection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<sst xmlns="http://schemas.openxmlformats.org/spreadsheetml/2006/main" count="8579" uniqueCount="7312">
  <si>
    <t>English</t>
  </si>
  <si>
    <t>Angolo Sbagliato 1 VERO</t>
  </si>
  <si>
    <t>[m]</t>
  </si>
  <si>
    <t>[kN]</t>
  </si>
  <si>
    <t>Delta l</t>
  </si>
  <si>
    <t>int</t>
  </si>
  <si>
    <t>deeflection</t>
  </si>
  <si>
    <t>Delta def</t>
  </si>
  <si>
    <t>Span</t>
  </si>
  <si>
    <t>Def</t>
  </si>
  <si>
    <t>Fx</t>
  </si>
  <si>
    <t>Tata</t>
  </si>
  <si>
    <t>10,30:30,10</t>
  </si>
  <si>
    <t>fy</t>
  </si>
  <si>
    <t>fx</t>
  </si>
  <si>
    <t>AyMaxWall</t>
  </si>
  <si>
    <t>AyMinWall</t>
  </si>
  <si>
    <t>AxMinWall</t>
  </si>
  <si>
    <t>AxMaxWall</t>
  </si>
  <si>
    <t>apri</t>
  </si>
  <si>
    <t>Element</t>
  </si>
  <si>
    <t>F1 [kN]</t>
  </si>
  <si>
    <t>F2 [kN]</t>
  </si>
  <si>
    <t>Larghezza</t>
  </si>
  <si>
    <t>Testo Etichetta</t>
  </si>
  <si>
    <t>Monocampata</t>
  </si>
  <si>
    <t>*</t>
  </si>
  <si>
    <t>Offeset</t>
  </si>
  <si>
    <t>Freccia</t>
  </si>
  <si>
    <t>Max</t>
  </si>
  <si>
    <t>Max/2</t>
  </si>
  <si>
    <t>Etichette</t>
  </si>
  <si>
    <t>Dimensione Tratto</t>
  </si>
  <si>
    <t>Minore</t>
  </si>
  <si>
    <t>Deformata</t>
  </si>
  <si>
    <t>A riposo</t>
  </si>
  <si>
    <t>x</t>
  </si>
  <si>
    <t>y</t>
  </si>
  <si>
    <t>Angolo Più piccolo</t>
  </si>
  <si>
    <t>X</t>
  </si>
  <si>
    <t>Y</t>
  </si>
  <si>
    <t>Angoli</t>
  </si>
  <si>
    <t>Angolo</t>
  </si>
  <si>
    <t>Offeset Dimension</t>
  </si>
  <si>
    <t>Ultimo</t>
  </si>
  <si>
    <t>Limite SupDx</t>
  </si>
  <si>
    <t>offset</t>
  </si>
  <si>
    <t>Xmax</t>
  </si>
  <si>
    <t>Ymax</t>
  </si>
  <si>
    <t>Sposta Sx</t>
  </si>
  <si>
    <t>Sposta Dx</t>
  </si>
  <si>
    <t>Limite infSIX</t>
  </si>
  <si>
    <t>TopSx</t>
  </si>
  <si>
    <t>TopDx</t>
  </si>
  <si>
    <t>Rapporto H/L</t>
  </si>
  <si>
    <t>numero di accessori</t>
  </si>
  <si>
    <t>Totale Linee</t>
  </si>
  <si>
    <t>Loop</t>
  </si>
  <si>
    <t>Term</t>
  </si>
  <si>
    <t>intermedi</t>
  </si>
  <si>
    <t>Supporti Principali</t>
  </si>
  <si>
    <t>Angoli Totali</t>
  </si>
  <si>
    <t>Angoli &lt;&gt;90°</t>
  </si>
  <si>
    <t>Supporto</t>
  </si>
  <si>
    <t>Angoli =90°</t>
  </si>
  <si>
    <t>interasse</t>
  </si>
  <si>
    <t>Somma Int</t>
  </si>
  <si>
    <t>costruzione</t>
  </si>
  <si>
    <t>Partenza</t>
  </si>
  <si>
    <t>Misura</t>
  </si>
  <si>
    <t>Angoli = 90°</t>
  </si>
  <si>
    <t>Angoli=INT</t>
  </si>
  <si>
    <t>Angoli &lt;&gt; 90°</t>
  </si>
  <si>
    <t>F interpolazione</t>
  </si>
  <si>
    <t>F1 da int</t>
  </si>
  <si>
    <t>F2 da int</t>
  </si>
  <si>
    <t>F mod</t>
  </si>
  <si>
    <t>F1</t>
  </si>
  <si>
    <t>F2</t>
  </si>
  <si>
    <t>X2-X1</t>
  </si>
  <si>
    <t>Y2-Y1</t>
  </si>
  <si>
    <t>angolo 1</t>
  </si>
  <si>
    <t>Direzione</t>
  </si>
  <si>
    <t>Lunghezza</t>
  </si>
  <si>
    <t>Angolo(°)</t>
  </si>
  <si>
    <t>Sen</t>
  </si>
  <si>
    <t>Cos</t>
  </si>
  <si>
    <t>Angolo Loop</t>
  </si>
  <si>
    <t>Intermedi</t>
  </si>
  <si>
    <t>Inter. Loop</t>
  </si>
  <si>
    <t>Intermedi Max</t>
  </si>
  <si>
    <t>Distanza Int</t>
  </si>
  <si>
    <t>Punto angolo</t>
  </si>
  <si>
    <t>-</t>
  </si>
  <si>
    <t>°</t>
  </si>
  <si>
    <t>MAX</t>
  </si>
  <si>
    <t>LIFELINE v1.04</t>
  </si>
  <si>
    <t>Rothoblaas CABLE</t>
  </si>
  <si>
    <t>Ø8 - 7 x 7 - stainless steel - AISI316</t>
  </si>
  <si>
    <t>CC ID</t>
  </si>
  <si>
    <t>&gt;</t>
  </si>
  <si>
    <t>SPEAR2/SPEAR</t>
  </si>
  <si>
    <t>SPEAR_SPEAR2.txt</t>
  </si>
  <si>
    <t>user *</t>
  </si>
  <si>
    <t>input data ---&gt;</t>
  </si>
  <si>
    <t>INDEFORMABILE</t>
  </si>
  <si>
    <t>N.S.</t>
  </si>
  <si>
    <t>LIFELINE SYSTEMS CALCULATION</t>
  </si>
  <si>
    <t>&lt;</t>
  </si>
  <si>
    <t>TOWER300</t>
  </si>
  <si>
    <t>TOWER300.txt</t>
  </si>
  <si>
    <t>002</t>
  </si>
  <si>
    <t>PATROL + SPEAR</t>
  </si>
  <si>
    <t>Forces and deflection of the system</t>
  </si>
  <si>
    <t>Λ</t>
  </si>
  <si>
    <t>TOWER400</t>
  </si>
  <si>
    <t>TOWER400.txt</t>
  </si>
  <si>
    <t>004</t>
  </si>
  <si>
    <t>PATROL + SPEAREVO</t>
  </si>
  <si>
    <t>V</t>
  </si>
  <si>
    <t>TOWER500</t>
  </si>
  <si>
    <t>TOWER500.txt</t>
  </si>
  <si>
    <t>005</t>
  </si>
  <si>
    <t>Project Name</t>
  </si>
  <si>
    <t>ABC</t>
  </si>
  <si>
    <t>Angle</t>
  </si>
  <si>
    <t>TOWER</t>
  </si>
  <si>
    <t>TOWER600.txt</t>
  </si>
  <si>
    <t>003</t>
  </si>
  <si>
    <t>PATROLEND</t>
  </si>
  <si>
    <t>PATROLEND.txt</t>
  </si>
  <si>
    <t>001</t>
  </si>
  <si>
    <t>System</t>
  </si>
  <si>
    <t>Data:</t>
  </si>
  <si>
    <t>user</t>
  </si>
  <si>
    <t>PATROL OVERHEAD</t>
  </si>
  <si>
    <t>Anchor Point</t>
  </si>
  <si>
    <t>PATROL ON WALL</t>
  </si>
  <si>
    <t xml:space="preserve">Nominal diameter </t>
  </si>
  <si>
    <t>mm</t>
  </si>
  <si>
    <t>SHIELD | SHIELD2</t>
  </si>
  <si>
    <t>Rope</t>
  </si>
  <si>
    <t xml:space="preserve">Fill ratio </t>
  </si>
  <si>
    <t>%</t>
  </si>
  <si>
    <t xml:space="preserve">Apparent Young's Modulus </t>
  </si>
  <si>
    <r>
      <t>N/mm</t>
    </r>
    <r>
      <rPr>
        <vertAlign val="superscript"/>
        <sz val="10"/>
        <color theme="1"/>
        <rFont val="Verdana"/>
        <family val="2"/>
      </rPr>
      <t>2</t>
    </r>
  </si>
  <si>
    <t>Specific weight</t>
  </si>
  <si>
    <r>
      <t>N/m</t>
    </r>
    <r>
      <rPr>
        <vertAlign val="superscript"/>
        <sz val="11"/>
        <color theme="1"/>
        <rFont val="Verdana Pro Cond Light"/>
        <family val="2"/>
        <scheme val="minor"/>
      </rPr>
      <t>3</t>
    </r>
  </si>
  <si>
    <t>Max number of users</t>
  </si>
  <si>
    <t>kN</t>
  </si>
  <si>
    <t>Installation manual loads (EN795)</t>
  </si>
  <si>
    <t>Application</t>
  </si>
  <si>
    <t>Max deflection</t>
  </si>
  <si>
    <t>Fmax</t>
  </si>
  <si>
    <t>Number of users</t>
  </si>
  <si>
    <t>GEOMETRY OF THE LIFELINE</t>
  </si>
  <si>
    <t>First Point</t>
  </si>
  <si>
    <t>m</t>
  </si>
  <si>
    <t>Total length</t>
  </si>
  <si>
    <t>Draw your lifeline system via table 1</t>
  </si>
  <si>
    <t>It is not recommended to have a lifeline with angles of less than 90°. In such cases, it is recommended to split the lifeline at that point.</t>
  </si>
  <si>
    <t>num anc int</t>
  </si>
  <si>
    <t>NON CANCELLARE NE SPOSTARE</t>
  </si>
  <si>
    <r>
      <t xml:space="preserve">Table 1 </t>
    </r>
    <r>
      <rPr>
        <sz val="10"/>
        <color theme="1"/>
        <rFont val="Verdana"/>
        <family val="2"/>
      </rPr>
      <t>- Vector Input</t>
    </r>
  </si>
  <si>
    <t># operatori</t>
  </si>
  <si>
    <t>carico</t>
  </si>
  <si>
    <t>Fy</t>
  </si>
  <si>
    <t>angolo inclinazione forza</t>
  </si>
  <si>
    <t>From</t>
  </si>
  <si>
    <t>To</t>
  </si>
  <si>
    <t>Direction</t>
  </si>
  <si>
    <t>Length</t>
  </si>
  <si>
    <t>Angle °</t>
  </si>
  <si>
    <t>numero</t>
  </si>
  <si>
    <t>invertire il segno della forza?</t>
  </si>
  <si>
    <t>check</t>
  </si>
  <si>
    <t>ANCORAGGIO</t>
  </si>
  <si>
    <t>campata</t>
  </si>
  <si>
    <t>DISSIPATORE</t>
  </si>
  <si>
    <t>gradi</t>
  </si>
  <si>
    <t>Nome grafico linea indeformata:</t>
  </si>
  <si>
    <t>Indeformata</t>
  </si>
  <si>
    <t>Max length span</t>
  </si>
  <si>
    <t>deflection</t>
  </si>
  <si>
    <t>Load applied on span</t>
  </si>
  <si>
    <t>E rope</t>
  </si>
  <si>
    <t>N/mmq</t>
  </si>
  <si>
    <t>A rope</t>
  </si>
  <si>
    <t>mmq</t>
  </si>
  <si>
    <t>Reaction on anchor elements of the multi-span rope</t>
  </si>
  <si>
    <t>F Ed</t>
  </si>
  <si>
    <t>PATROL + TOWER + SPEAR</t>
  </si>
  <si>
    <t>[4UTENTI]</t>
  </si>
  <si>
    <t>Intermediate</t>
  </si>
  <si>
    <t>Terminal</t>
  </si>
  <si>
    <t>Curve</t>
  </si>
  <si>
    <t>CAMPATA (M)</t>
  </si>
  <si>
    <t>FORZA MASSIMA AL TERMINALE (KN)</t>
  </si>
  <si>
    <t>FRECCIA CENTRO CAMPATA (M)</t>
  </si>
  <si>
    <t>WALL</t>
  </si>
  <si>
    <t>h</t>
  </si>
  <si>
    <t>l</t>
  </si>
  <si>
    <t>Module [kN]</t>
  </si>
  <si>
    <t>teta</t>
  </si>
  <si>
    <t>anchors at the loaded span</t>
  </si>
  <si>
    <t>fy - f2</t>
  </si>
  <si>
    <t>tower300</t>
  </si>
  <si>
    <t>anchors at the unloaded span</t>
  </si>
  <si>
    <t>fx - f1</t>
  </si>
  <si>
    <t>PATROL + SHIELD + SPEAR</t>
  </si>
  <si>
    <t>[2UTENTI]</t>
  </si>
  <si>
    <t>SHIELD</t>
  </si>
  <si>
    <t>tower400</t>
  </si>
  <si>
    <t>tower500</t>
  </si>
  <si>
    <t>MIN</t>
  </si>
  <si>
    <t>tower600</t>
  </si>
  <si>
    <t>users</t>
  </si>
  <si>
    <t>Max design load</t>
  </si>
  <si>
    <t>anchors not at the loaded span</t>
  </si>
  <si>
    <t>PATROL + VERTICALE/ORIZZONTALE + SPEAR</t>
  </si>
  <si>
    <t>corner anchors</t>
  </si>
  <si>
    <t>Span rope deflection with respect to joining end constraints</t>
  </si>
  <si>
    <t>Deflection [m]</t>
  </si>
  <si>
    <t>usati nei calcoli di interpolazione</t>
  </si>
  <si>
    <t>PATROL + PATROLEND/PAREND + SPEAREVO</t>
  </si>
  <si>
    <t>NOTES</t>
  </si>
  <si>
    <t>Fixings and anchors must be the same in all anchor points.</t>
  </si>
  <si>
    <t>PATROL + SHIELD + SPEAREVO</t>
  </si>
  <si>
    <t>Before the construction, all calculation must be verified and approved by the responsible designer.</t>
  </si>
  <si>
    <t>Mechanical resistance values and geometry refer to product certification.</t>
  </si>
  <si>
    <t>Verification of anchoring systems resistance must be realized apart.</t>
  </si>
  <si>
    <t>All calculations must be verified and approved by the responsible designer prior to execution. The designer are responsible to verify, at each use, the conformity of the data to the regulations in force and to the project. The ultimate responsibility for choosing the appropriate product for a specific application lies with the designer.</t>
  </si>
  <si>
    <t>The results obtained in this sheet are of an indicative nature and should be considered as a technical-commercial service within the Rotho Blaas srl sales activity. The number and thickness of the inserts must be determined by the responsible designer who is required to check the accuracy of the results deriving from the processing of the data entered. Rotho Blaas srl does not guarantee compliance with current legislation and the design of the calculations made through this spreadsheet. In particular, following the amendment of the pertinent provisions such as, for example standards, approvals, etc. the program may become, in part or in whole, invalid. Rotho Blaas srl does not guarantee and will not be responsible for direct or indirect damages or consequences or other, in any way (warranty for defects, warranty for malfunction, product or legal responsibility, etc.). The User declares to use the spreadsheet as a professional with the obligation and responsibility to verify that the spreadsheet meets his specific needs.</t>
  </si>
  <si>
    <t>ctrl-X</t>
  </si>
  <si>
    <t>Coordinate nodi deformata fune MULTICAMPATA</t>
  </si>
  <si>
    <t>Nodi</t>
  </si>
  <si>
    <t>X [m]</t>
  </si>
  <si>
    <t>Y [m]</t>
  </si>
  <si>
    <t>V_SX</t>
  </si>
  <si>
    <t>A</t>
  </si>
  <si>
    <t>tend A</t>
  </si>
  <si>
    <t>N0</t>
  </si>
  <si>
    <t>N1</t>
  </si>
  <si>
    <t>N2</t>
  </si>
  <si>
    <t>N3</t>
  </si>
  <si>
    <t>N4</t>
  </si>
  <si>
    <t>N5</t>
  </si>
  <si>
    <t>N6</t>
  </si>
  <si>
    <t>N7</t>
  </si>
  <si>
    <t>N8</t>
  </si>
  <si>
    <t>N9</t>
  </si>
  <si>
    <t>N10</t>
  </si>
  <si>
    <t>N11</t>
  </si>
  <si>
    <t>N12</t>
  </si>
  <si>
    <t>N13</t>
  </si>
  <si>
    <t>N14</t>
  </si>
  <si>
    <t>N15</t>
  </si>
  <si>
    <t>N16</t>
  </si>
  <si>
    <t>N17</t>
  </si>
  <si>
    <t>N18</t>
  </si>
  <si>
    <t>N19</t>
  </si>
  <si>
    <t>N20</t>
  </si>
  <si>
    <t>N_last point</t>
  </si>
  <si>
    <t>N21</t>
  </si>
  <si>
    <t>tend B</t>
  </si>
  <si>
    <t>N22</t>
  </si>
  <si>
    <t>B</t>
  </si>
  <si>
    <t>N23</t>
  </si>
  <si>
    <t>V_DX</t>
  </si>
  <si>
    <t>N24</t>
  </si>
  <si>
    <t>N25</t>
  </si>
  <si>
    <t>N26</t>
  </si>
  <si>
    <t>N27</t>
  </si>
  <si>
    <t>N28</t>
  </si>
  <si>
    <t>N29</t>
  </si>
  <si>
    <t>N30</t>
  </si>
  <si>
    <t>N31</t>
  </si>
  <si>
    <t>N32</t>
  </si>
  <si>
    <t>N33</t>
  </si>
  <si>
    <t>N34</t>
  </si>
  <si>
    <t>N35</t>
  </si>
  <si>
    <t>N36</t>
  </si>
  <si>
    <t>N37</t>
  </si>
  <si>
    <t>N38</t>
  </si>
  <si>
    <t>N39</t>
  </si>
  <si>
    <t>N40</t>
  </si>
  <si>
    <t>N41</t>
  </si>
  <si>
    <t>N42</t>
  </si>
  <si>
    <t>N43</t>
  </si>
  <si>
    <t>N44</t>
  </si>
  <si>
    <t>N45</t>
  </si>
  <si>
    <t>N46</t>
  </si>
  <si>
    <t>N47</t>
  </si>
  <si>
    <t>N48</t>
  </si>
  <si>
    <t>N49</t>
  </si>
  <si>
    <t>N50</t>
  </si>
  <si>
    <t>N51</t>
  </si>
  <si>
    <t>N52</t>
  </si>
  <si>
    <t>N53</t>
  </si>
  <si>
    <t>N54</t>
  </si>
  <si>
    <t>N55</t>
  </si>
  <si>
    <t>N56</t>
  </si>
  <si>
    <t>N57</t>
  </si>
  <si>
    <t>x/4</t>
  </si>
  <si>
    <t>Y/4</t>
  </si>
  <si>
    <t>Min</t>
  </si>
  <si>
    <t>aggiornare formule se inserisco tramite coordinate</t>
  </si>
  <si>
    <t>Fmax interpolazione</t>
  </si>
  <si>
    <t>Ftot</t>
  </si>
  <si>
    <t>PUNTO DI ANGOLO</t>
  </si>
  <si>
    <t>carico punti spigolosi</t>
  </si>
  <si>
    <t>nome curva CC</t>
  </si>
  <si>
    <t>[]</t>
  </si>
  <si>
    <t>kn</t>
  </si>
  <si>
    <t>Unici 1</t>
  </si>
  <si>
    <t>Unici2</t>
  </si>
  <si>
    <t>Orario</t>
  </si>
  <si>
    <t>Antiorario</t>
  </si>
  <si>
    <t>← (180°)</t>
  </si>
  <si>
    <t>TOWERA2300</t>
  </si>
  <si>
    <t>A2 (AISI 304)</t>
  </si>
  <si>
    <t>↑ (90°)</t>
  </si>
  <si>
    <t>TOWERA2400</t>
  </si>
  <si>
    <t>A4 (AISI316)</t>
  </si>
  <si>
    <t>→ (0°)</t>
  </si>
  <si>
    <t>TOWERA2500</t>
  </si>
  <si>
    <t>↓ (270°)</t>
  </si>
  <si>
    <t>TOWER600</t>
  </si>
  <si>
    <t>PASINT</t>
  </si>
  <si>
    <t>TOWER22500</t>
  </si>
  <si>
    <t>PASINTA4</t>
  </si>
  <si>
    <t>Intermedio</t>
  </si>
  <si>
    <t>PATROLINT</t>
  </si>
  <si>
    <t>PATROLMED</t>
  </si>
  <si>
    <t>TOPLATE</t>
  </si>
  <si>
    <t>TOPLATE+TOPLATE2</t>
  </si>
  <si>
    <t>TOPLATE2</t>
  </si>
  <si>
    <t>TOWERPEAK</t>
  </si>
  <si>
    <t>TOWERSLOPE</t>
  </si>
  <si>
    <t>TOWLAT</t>
  </si>
  <si>
    <t>PL-SK-CZ-HU-RO</t>
  </si>
  <si>
    <t>SLIDE1</t>
  </si>
  <si>
    <t>NL-SE-NO-FI-RU</t>
  </si>
  <si>
    <t>SLIDE2</t>
  </si>
  <si>
    <t>SLIDE1A4</t>
  </si>
  <si>
    <t>orario</t>
  </si>
  <si>
    <t>antiorario</t>
  </si>
  <si>
    <t>SLIDE2A4</t>
  </si>
  <si>
    <t>LimY</t>
  </si>
  <si>
    <t>Area Grafico</t>
  </si>
  <si>
    <t>LargAreaW</t>
  </si>
  <si>
    <t>LimX</t>
  </si>
  <si>
    <t>AltAreaW</t>
  </si>
  <si>
    <t>Alt</t>
  </si>
  <si>
    <t>Rapporto L/H</t>
  </si>
  <si>
    <t>Impostazioni</t>
  </si>
  <si>
    <t>Larghezz</t>
  </si>
  <si>
    <t>AngEtic</t>
  </si>
  <si>
    <t>Arro</t>
  </si>
  <si>
    <t>Label#1</t>
  </si>
  <si>
    <t>Labels</t>
  </si>
  <si>
    <t>←</t>
  </si>
  <si>
    <t>↑</t>
  </si>
  <si>
    <t>→</t>
  </si>
  <si>
    <t>↓</t>
  </si>
  <si>
    <t>Operatori</t>
  </si>
  <si>
    <t>Interasse max</t>
  </si>
  <si>
    <t>Interasse min</t>
  </si>
  <si>
    <t>Carico con Interasse Max</t>
  </si>
  <si>
    <t>Freccia con Interasse Max</t>
  </si>
  <si>
    <t>Carico con Interasse Min</t>
  </si>
  <si>
    <t>Freccia con Interasse Min</t>
  </si>
  <si>
    <t>A2</t>
  </si>
  <si>
    <t>A4</t>
  </si>
  <si>
    <t>SPEAR</t>
  </si>
  <si>
    <t>SPEAREVO</t>
  </si>
  <si>
    <t>TOWER / TOWERXL</t>
  </si>
  <si>
    <t>SHIELD / SHIELD2</t>
  </si>
  <si>
    <t>Dal Foglio Calc</t>
  </si>
  <si>
    <t>Interassi</t>
  </si>
  <si>
    <t>Carico Max</t>
  </si>
  <si>
    <t>Freccia Max</t>
  </si>
  <si>
    <t>Carico Min</t>
  </si>
  <si>
    <t>AssorbitoreLista</t>
  </si>
  <si>
    <t>Descrizione Indice</t>
  </si>
  <si>
    <t>Italiano</t>
  </si>
  <si>
    <t>čeština</t>
  </si>
  <si>
    <t>Français</t>
  </si>
  <si>
    <t>汉语</t>
  </si>
  <si>
    <t>Hrvatski</t>
  </si>
  <si>
    <t>Español</t>
  </si>
  <si>
    <t>Deutsch</t>
  </si>
  <si>
    <t>日本</t>
  </si>
  <si>
    <t>Γκρέγκο</t>
  </si>
  <si>
    <t>Latvietis</t>
  </si>
  <si>
    <t>Polski</t>
  </si>
  <si>
    <t>Português</t>
  </si>
  <si>
    <t>Română</t>
  </si>
  <si>
    <t>Русский</t>
  </si>
  <si>
    <t>Slovenčina</t>
  </si>
  <si>
    <t>Slovenščina</t>
  </si>
  <si>
    <t>Svenska</t>
  </si>
  <si>
    <t>Türkçe</t>
  </si>
  <si>
    <t>Magyar Nyelv</t>
  </si>
  <si>
    <t>Português Brasileiro</t>
  </si>
  <si>
    <t/>
  </si>
  <si>
    <t>Lingua Selezionata</t>
  </si>
  <si>
    <t>#</t>
  </si>
  <si>
    <t>大和</t>
  </si>
  <si>
    <t>SUPPORTO</t>
  </si>
  <si>
    <t>PODPORA</t>
  </si>
  <si>
    <t>支持</t>
  </si>
  <si>
    <t>PODRŠKA</t>
  </si>
  <si>
    <t>SOUTIEN</t>
  </si>
  <si>
    <t>サポート</t>
  </si>
  <si>
    <t>ΥΠΟΣΤΗΡΙΞΗ</t>
  </si>
  <si>
    <t>SUPPORT</t>
  </si>
  <si>
    <t>ATBALSTS</t>
  </si>
  <si>
    <t>POMOC</t>
  </si>
  <si>
    <t>APOIO</t>
  </si>
  <si>
    <t>SUPORT</t>
  </si>
  <si>
    <t>ПОДДЕРЖКА</t>
  </si>
  <si>
    <t>SOPORTE</t>
  </si>
  <si>
    <t>STÖD</t>
  </si>
  <si>
    <t>GRUNDPLATTE</t>
  </si>
  <si>
    <t>DESTEK</t>
  </si>
  <si>
    <t>TÁMOGATÁS</t>
  </si>
  <si>
    <t>Listino Prezzi</t>
  </si>
  <si>
    <t>Ceník</t>
  </si>
  <si>
    <t>价格表</t>
  </si>
  <si>
    <t>Cjenik</t>
  </si>
  <si>
    <t>Liste des prix</t>
  </si>
  <si>
    <t>価格表</t>
  </si>
  <si>
    <t>Λίστα τιμών</t>
  </si>
  <si>
    <t>Price List</t>
  </si>
  <si>
    <t>Cenrādis</t>
  </si>
  <si>
    <t>Cennik</t>
  </si>
  <si>
    <t>Lista de preços</t>
  </si>
  <si>
    <t>Lista de prețuri</t>
  </si>
  <si>
    <t>Прайс-лист</t>
  </si>
  <si>
    <t>Cenník</t>
  </si>
  <si>
    <t>Cenik</t>
  </si>
  <si>
    <t>Lista de precios</t>
  </si>
  <si>
    <t>Prislista</t>
  </si>
  <si>
    <t>Preislisten</t>
  </si>
  <si>
    <t>Fiyat listesi</t>
  </si>
  <si>
    <t>Árlista</t>
  </si>
  <si>
    <t>Lingua</t>
  </si>
  <si>
    <t>Jazyk</t>
  </si>
  <si>
    <t>语言</t>
  </si>
  <si>
    <t>Jezik</t>
  </si>
  <si>
    <t>Langue</t>
  </si>
  <si>
    <t>言語</t>
  </si>
  <si>
    <t>Γλώσσα</t>
  </si>
  <si>
    <t>Language</t>
  </si>
  <si>
    <t>Valoda</t>
  </si>
  <si>
    <t>Język</t>
  </si>
  <si>
    <t>Idioma</t>
  </si>
  <si>
    <t>Limba</t>
  </si>
  <si>
    <t>Язык</t>
  </si>
  <si>
    <t>Språk</t>
  </si>
  <si>
    <t>Sprache</t>
  </si>
  <si>
    <t>Dilim</t>
  </si>
  <si>
    <t>Nyelv</t>
  </si>
  <si>
    <t>Valuta</t>
  </si>
  <si>
    <t>Měna</t>
  </si>
  <si>
    <t>货币</t>
  </si>
  <si>
    <t>Devise</t>
  </si>
  <si>
    <t>通貨</t>
  </si>
  <si>
    <t>Νόμισμα</t>
  </si>
  <si>
    <t>Currency</t>
  </si>
  <si>
    <t>Valūta</t>
  </si>
  <si>
    <t>Waluta</t>
  </si>
  <si>
    <t>Moeda</t>
  </si>
  <si>
    <t>Monedă</t>
  </si>
  <si>
    <t>Валюта</t>
  </si>
  <si>
    <t>Mena</t>
  </si>
  <si>
    <t>Moneda</t>
  </si>
  <si>
    <t>Währung</t>
  </si>
  <si>
    <t>Para birimi</t>
  </si>
  <si>
    <t>Pénznem</t>
  </si>
  <si>
    <t>Rif. Progetto</t>
  </si>
  <si>
    <t>Projekt Ref.</t>
  </si>
  <si>
    <t>项目编号。</t>
  </si>
  <si>
    <t>Réf. du projet</t>
  </si>
  <si>
    <t>参照プロジェクト</t>
  </si>
  <si>
    <t>Υπεύθυνος Έργου</t>
  </si>
  <si>
    <t>Project Ref.</t>
  </si>
  <si>
    <t>Projekta atsauces Nr.</t>
  </si>
  <si>
    <t>Nr ref. projektu</t>
  </si>
  <si>
    <t>Projecto Ref.</t>
  </si>
  <si>
    <t>Proiect Ref.</t>
  </si>
  <si>
    <t>Ссылка на проект.</t>
  </si>
  <si>
    <t>Ref. projektu</t>
  </si>
  <si>
    <t>Ref. projekta</t>
  </si>
  <si>
    <t>Ref. del proyecto</t>
  </si>
  <si>
    <t>Proje Referansı</t>
  </si>
  <si>
    <t>SOTTOSTRUTTURA</t>
  </si>
  <si>
    <t>SUBSTRUKTURA</t>
  </si>
  <si>
    <t>结构</t>
  </si>
  <si>
    <t>PODSTRUKTURA</t>
  </si>
  <si>
    <t>SUBSTRUCTURE</t>
  </si>
  <si>
    <t>サブストラクチャー</t>
  </si>
  <si>
    <t>ΥΠΟΔΟΜΗ</t>
  </si>
  <si>
    <t>SUBSTRUKTŪRA</t>
  </si>
  <si>
    <t>PODBUDOWA</t>
  </si>
  <si>
    <t>SUBSTRUTURA</t>
  </si>
  <si>
    <t>SUBSTRUCTURA</t>
  </si>
  <si>
    <t>СУБСТРУКТУРА</t>
  </si>
  <si>
    <t>SUBSTRUKTÚRA</t>
  </si>
  <si>
    <t>SUBSTRUKCIJA</t>
  </si>
  <si>
    <t>SUBESTRUCTURA</t>
  </si>
  <si>
    <t>SUBSTRUKTUR</t>
  </si>
  <si>
    <t>Unterkonstruktion</t>
  </si>
  <si>
    <t>ALT YAPI</t>
  </si>
  <si>
    <t>ALSZERKEZET</t>
  </si>
  <si>
    <t>SUPPORTO PRINCIPALE</t>
  </si>
  <si>
    <t>HLAVNÍ PODPORA</t>
  </si>
  <si>
    <t>主要支持</t>
  </si>
  <si>
    <t>GLAVNA PODRŠKA</t>
  </si>
  <si>
    <t>SUPPORT PRINCIPAL</t>
  </si>
  <si>
    <t>メインサポート</t>
  </si>
  <si>
    <t>ΚΥΡΙΑ ΥΠΟΣΤΗΡΙΞΗ</t>
  </si>
  <si>
    <t>MAIN SUPPORT</t>
  </si>
  <si>
    <t>GALVENIS ATBALSTS</t>
  </si>
  <si>
    <t>WSPARCIE GŁÓWNE</t>
  </si>
  <si>
    <t>APOIO PRINCIPAL</t>
  </si>
  <si>
    <t>SUPORT PRINCIPAL</t>
  </si>
  <si>
    <t>ГЛАВНАЯ ОПОРА</t>
  </si>
  <si>
    <t>HLAVNÁ PODPORA</t>
  </si>
  <si>
    <t>GLAVNA PODPORA</t>
  </si>
  <si>
    <t>SOPORTE PRINCIPAL</t>
  </si>
  <si>
    <t>HUVUDSTÖD</t>
  </si>
  <si>
    <t>Grundplatte</t>
  </si>
  <si>
    <t>ANA DESTEK</t>
  </si>
  <si>
    <t>FŐ TÁMOGATÁS</t>
  </si>
  <si>
    <t>COMPONENTI</t>
  </si>
  <si>
    <t>KOMPONENTY</t>
  </si>
  <si>
    <t>构成部分</t>
  </si>
  <si>
    <t>KOMPONENTE OD</t>
  </si>
  <si>
    <t>COMPOSANTS DE</t>
  </si>
  <si>
    <t>コンポーネント</t>
  </si>
  <si>
    <t>ΣΥΣΤΑΤΙΚΑ ΤΗΣ</t>
  </si>
  <si>
    <t>COMPONENTS OF</t>
  </si>
  <si>
    <t>KOMPONENTI</t>
  </si>
  <si>
    <t>CZĘŚCI</t>
  </si>
  <si>
    <t>COMPONENTES DE</t>
  </si>
  <si>
    <t>COMPONENTE DE</t>
  </si>
  <si>
    <t>КОМПОНЕНТЫ</t>
  </si>
  <si>
    <t>SESTAVNI DELI</t>
  </si>
  <si>
    <t>COMPONENTES</t>
  </si>
  <si>
    <t>KOMPONENTER AV</t>
  </si>
  <si>
    <t>Komponenten</t>
  </si>
  <si>
    <t>IN BİLEŞENLERİ</t>
  </si>
  <si>
    <t>ÖSSZETEVŐK</t>
  </si>
  <si>
    <t>TIPO INTERMEDIO</t>
  </si>
  <si>
    <t>STŘEDOVÝ TYP</t>
  </si>
  <si>
    <t>中间件类型</t>
  </si>
  <si>
    <t>SREDNJI TIP</t>
  </si>
  <si>
    <t>TYPE INTERMÉDIAIRE</t>
  </si>
  <si>
    <t>中間タイプ</t>
  </si>
  <si>
    <t>ΕΝΔΙΑΜΕΣΟΣ ΤΥΠΟΣ</t>
  </si>
  <si>
    <t>INTERMEDIATE TYPE</t>
  </si>
  <si>
    <t>STARPPOSMA TIPS</t>
  </si>
  <si>
    <t>TYP POŚREDNI</t>
  </si>
  <si>
    <t>TIPO INTERMÉDIO</t>
  </si>
  <si>
    <t>TIP INTERMEDIAR</t>
  </si>
  <si>
    <t>ПРОМЕЖУТОЧНЫЙ ТИП</t>
  </si>
  <si>
    <t>PRECHODNÝ TYP</t>
  </si>
  <si>
    <t>VMESNI TIP</t>
  </si>
  <si>
    <t>MELLAN TYP</t>
  </si>
  <si>
    <t>Art des Zwischenstück</t>
  </si>
  <si>
    <t>ARA TİP</t>
  </si>
  <si>
    <t>KÖZTES TÍPUS</t>
  </si>
  <si>
    <t>INTERMEDIO</t>
  </si>
  <si>
    <t>STŘEDOVÝ</t>
  </si>
  <si>
    <t>中间的</t>
  </si>
  <si>
    <t>SREDNJI</t>
  </si>
  <si>
    <t>INTERMEDIAIRE</t>
  </si>
  <si>
    <t>中間</t>
  </si>
  <si>
    <t>ΕΝΔΙΑΜΕΣΟΣ</t>
  </si>
  <si>
    <t>INTERMEDIATE</t>
  </si>
  <si>
    <t>STARPPOSMS</t>
  </si>
  <si>
    <t>MEDIATOR</t>
  </si>
  <si>
    <t>INTERMÉDIO</t>
  </si>
  <si>
    <t>INTERMEDIARĂ</t>
  </si>
  <si>
    <t>ПРОМЕЖУТОЧНЫЙ</t>
  </si>
  <si>
    <t>MEDZINÁRODNÝ</t>
  </si>
  <si>
    <t>VMESNI</t>
  </si>
  <si>
    <t>MELLANLIGGANDE</t>
  </si>
  <si>
    <t>Zwischenstück</t>
  </si>
  <si>
    <t>ORTA DÜZEY</t>
  </si>
  <si>
    <t>KÖZTES</t>
  </si>
  <si>
    <t>Codice</t>
  </si>
  <si>
    <t>Kód</t>
  </si>
  <si>
    <t>编码</t>
  </si>
  <si>
    <t>Kod</t>
  </si>
  <si>
    <t>Code</t>
  </si>
  <si>
    <t>コード</t>
  </si>
  <si>
    <t>Κώδικας</t>
  </si>
  <si>
    <t>Kods</t>
  </si>
  <si>
    <t>Código</t>
  </si>
  <si>
    <t>Cod</t>
  </si>
  <si>
    <t>Код</t>
  </si>
  <si>
    <t>Koda</t>
  </si>
  <si>
    <t>Kodex</t>
  </si>
  <si>
    <t>kod</t>
  </si>
  <si>
    <t>TIPO ANGOLO</t>
  </si>
  <si>
    <t>TYP ROHU</t>
  </si>
  <si>
    <t>转角件类型</t>
  </si>
  <si>
    <t>TIP UGLA</t>
  </si>
  <si>
    <t>TYPE D'ANGLE</t>
  </si>
  <si>
    <t>コーナータイプ</t>
  </si>
  <si>
    <t>ΤΥΠΟΣ ΓΩΝΙΑΣ</t>
  </si>
  <si>
    <t>CORNER TYPE</t>
  </si>
  <si>
    <t>STŪRA TIPS</t>
  </si>
  <si>
    <t>RODZAJ NAROŻNIKA</t>
  </si>
  <si>
    <t>TIPO ÂNGULO</t>
  </si>
  <si>
    <t>TIP COLȚAR</t>
  </si>
  <si>
    <t>ТИП УГЛОВОЙ</t>
  </si>
  <si>
    <t>ROHOVÝ TYP</t>
  </si>
  <si>
    <t>VRTNI TIP</t>
  </si>
  <si>
    <t>Tipo de ángulo</t>
  </si>
  <si>
    <t>HÖRNTYP</t>
  </si>
  <si>
    <t>Art des Winkels</t>
  </si>
  <si>
    <t>KÖŞE TİPİ</t>
  </si>
  <si>
    <t>SARKOS TÍPUS</t>
  </si>
  <si>
    <t>TIPO NAVETTA</t>
  </si>
  <si>
    <t>TYP JEZDCE</t>
  </si>
  <si>
    <t>滑梭类型</t>
  </si>
  <si>
    <t>TIP TRANSPORTERA</t>
  </si>
  <si>
    <t>TYPE DE BATEAU</t>
  </si>
  <si>
    <t>シャトルタイプ</t>
  </si>
  <si>
    <t>ΤΥΠΟΣ ΜΕΤΑΦΟΡΑΣ</t>
  </si>
  <si>
    <t>SHUTTLE TYPE</t>
  </si>
  <si>
    <t xml:space="preserve"> SLĪDŅA VEIDS</t>
  </si>
  <si>
    <t>TYP WAHADŁOWY</t>
  </si>
  <si>
    <t>TIPO DE SHUTTLE</t>
  </si>
  <si>
    <t>TIPUL DE CUTREMUR</t>
  </si>
  <si>
    <t>ТИП МАРШРУТКИ</t>
  </si>
  <si>
    <t>TYP KRÁTKODOBÝ</t>
  </si>
  <si>
    <t>VRSTA ZAVAROVANJA</t>
  </si>
  <si>
    <t>TIPO DE carril</t>
  </si>
  <si>
    <t>Art des Gleiters</t>
  </si>
  <si>
    <t>mekik tipi</t>
  </si>
  <si>
    <t>KOCSI TÍPUS</t>
  </si>
  <si>
    <t>NUMERO DI NAVETTE</t>
  </si>
  <si>
    <t>POČET JEZDCŮ</t>
  </si>
  <si>
    <t>滑梭的数量</t>
  </si>
  <si>
    <t>NO. TRANSPORTERA</t>
  </si>
  <si>
    <t>NB. DE BATEAUX</t>
  </si>
  <si>
    <t>シャトルの番号</t>
  </si>
  <si>
    <t>ΑΡ. ΜΕΤΑΦΟΡΩΝ</t>
  </si>
  <si>
    <t>NO. OF SHUTTLES</t>
  </si>
  <si>
    <t>SLĪDŅU SKAITS</t>
  </si>
  <si>
    <t>NIE. WAŁÓWEK</t>
  </si>
  <si>
    <t>NUM. DE SHUTTLE</t>
  </si>
  <si>
    <t>NU. DE ȘOARETE</t>
  </si>
  <si>
    <t>НЕТ. МАРШРУТОК</t>
  </si>
  <si>
    <t>Č. ČÍSLA</t>
  </si>
  <si>
    <t>NE. ŠKATLJEV</t>
  </si>
  <si>
    <t>NÚMERO DE CARRILES</t>
  </si>
  <si>
    <t>NEJ. AV FÖRBINDNINGAR</t>
  </si>
  <si>
    <t>Nr/Anzahl des Gleiters</t>
  </si>
  <si>
    <t>NUMARA. MERKEZLER</t>
  </si>
  <si>
    <t>KOCSIK SZÁMA</t>
  </si>
  <si>
    <t>N. DI NAVETTE PER LINEA VITA</t>
  </si>
  <si>
    <t>POČET JEZDCŮ NA LANKOVÝ SYSTÉM</t>
  </si>
  <si>
    <t>生命线滑梭数量</t>
  </si>
  <si>
    <t>NO. TRANSPORTERA ZA LINIJU ŽIVOTA</t>
  </si>
  <si>
    <t>NO. DE NAVETTES POUR LES LIGNES DE VIE</t>
  </si>
  <si>
    <t>ライフライン用シャトルの番号</t>
  </si>
  <si>
    <t>ΑΡ. ΜΕΤΑΦΟΡΩΝ ΓΙΑ ΓΡΑΜΜΕΣ ΖΩΗΣ</t>
  </si>
  <si>
    <t>NO. OF SHUTTLES FOR LIFE LINES</t>
  </si>
  <si>
    <t>SLĪDŅU SKAITS DROŠĪBAS LĪNIJAI</t>
  </si>
  <si>
    <t>NIE. WACHTÓW NA LINIE ŻYCIA</t>
  </si>
  <si>
    <t>NUM. DE SHUTTLES PARA LINHAS DE VIDA</t>
  </si>
  <si>
    <t>NR. DE NAVETE PENTRU LINII DE VIAȚĂ</t>
  </si>
  <si>
    <t>NO. ЧЕЛНОКОВ ДЛЯ СПАСАТЕЛЬНЫХ ЛИНИЙ</t>
  </si>
  <si>
    <t>Č. RAKETOPLÁNOV PRE LINKY ZÁCHRANY</t>
  </si>
  <si>
    <t>NO. ČOLNOV ZA REŠILNE PROGE</t>
  </si>
  <si>
    <t>NUM.CARRILES PARA LÍNEAS</t>
  </si>
  <si>
    <t>NEJ. AV SKYDD FÖR LIVSLINJER</t>
  </si>
  <si>
    <t>Nr/Anzahl der Gleiter für Lebenslinien</t>
  </si>
  <si>
    <t>NUMARA. YAŞAM HATLARI İÇİN MERKEZLER</t>
  </si>
  <si>
    <t>KÁBELES RENDSZEREKHEZ SZÜKSÉGES KOCSIK SZÁMA</t>
  </si>
  <si>
    <t>PASSANTE</t>
  </si>
  <si>
    <t>PRŮBĚŽNÝ</t>
  </si>
  <si>
    <t>可通过</t>
  </si>
  <si>
    <t>PROLAZNA</t>
  </si>
  <si>
    <t>PASSANT À TRAVERS</t>
  </si>
  <si>
    <t>通過できる</t>
  </si>
  <si>
    <t>ΔΙΕΡΧΕΤΑΙ</t>
  </si>
  <si>
    <t>PASSING THROUGH</t>
  </si>
  <si>
    <t>ŠKĒRSOJAMAS</t>
  </si>
  <si>
    <t>PRZEJAZDEM</t>
  </si>
  <si>
    <t>CARE TREC PRIN</t>
  </si>
  <si>
    <t>ПРОХОДЯЩИЙ</t>
  </si>
  <si>
    <t>PRECHÁDZAJÚCE</t>
  </si>
  <si>
    <t>KI POTEKAJO SKOZI</t>
  </si>
  <si>
    <t>Pasante</t>
  </si>
  <si>
    <t>PASSERAR GENOM</t>
  </si>
  <si>
    <t>DURCHLAUFEND</t>
  </si>
  <si>
    <t>İÇİNDEN GEÇMEK</t>
  </si>
  <si>
    <t>ÁTJÁRHATÓ</t>
  </si>
  <si>
    <t>NON PASSANTE</t>
  </si>
  <si>
    <t>NEPRŮBĚŽNÝ</t>
  </si>
  <si>
    <t>不可通过</t>
  </si>
  <si>
    <t>NIJE  PROLAZNA</t>
  </si>
  <si>
    <t>NE PASSANT PAS À TRAVERS</t>
  </si>
  <si>
    <t>通過できない</t>
  </si>
  <si>
    <t>ΔΕΝ ΔΙΕΡΧΕΤΑΙ</t>
  </si>
  <si>
    <t>NOT PASSING TROUGH</t>
  </si>
  <si>
    <t>NEŠĶĒRSOJAMAS</t>
  </si>
  <si>
    <t>NIE PRZECHODZĄ</t>
  </si>
  <si>
    <t>NÃO PASSANTE</t>
  </si>
  <si>
    <t>CARE NU TREC PRIN PASAJ</t>
  </si>
  <si>
    <t>НЕ ПРОХОДЯЩИЙ ЖЕЛОБ</t>
  </si>
  <si>
    <t>NEPRECHÁDZAJÚCE KORYTOM</t>
  </si>
  <si>
    <t>KI NE POTEKAJO SKOZI KORITO</t>
  </si>
  <si>
    <t>No pasante</t>
  </si>
  <si>
    <t>GÅR INTE GENOM</t>
  </si>
  <si>
    <t>NICHT DURCHLAUFEND</t>
  </si>
  <si>
    <t>GEÇMİYOR</t>
  </si>
  <si>
    <t>NEM ÁTJÁRHAT</t>
  </si>
  <si>
    <t>LEGNO</t>
  </si>
  <si>
    <t>DŘEVO</t>
  </si>
  <si>
    <t>木材</t>
  </si>
  <si>
    <t>DRVO</t>
  </si>
  <si>
    <t>TIMBRE</t>
  </si>
  <si>
    <t>ΞΥΛΕΙΑ</t>
  </si>
  <si>
    <t>TIMBER</t>
  </si>
  <si>
    <t>KOKS</t>
  </si>
  <si>
    <t>DREWNO</t>
  </si>
  <si>
    <t>MADEIRA</t>
  </si>
  <si>
    <t>TIMBRUL</t>
  </si>
  <si>
    <t>БРУСЧАТКА</t>
  </si>
  <si>
    <t>DREVO</t>
  </si>
  <si>
    <t>MADERA</t>
  </si>
  <si>
    <t>TIMMER</t>
  </si>
  <si>
    <t>HOLZ</t>
  </si>
  <si>
    <t>KERESTE</t>
  </si>
  <si>
    <t>FA</t>
  </si>
  <si>
    <t>CEMENTO</t>
  </si>
  <si>
    <t>BETON</t>
  </si>
  <si>
    <t>混凝土</t>
  </si>
  <si>
    <t>BÉTON</t>
  </si>
  <si>
    <t>コンクリート</t>
  </si>
  <si>
    <t>ΣΚΥΡΟΔΕΜΑ</t>
  </si>
  <si>
    <t>CONCRETE</t>
  </si>
  <si>
    <t>BETONS</t>
  </si>
  <si>
    <t>BETÃO</t>
  </si>
  <si>
    <t>КОНКРЕТ</t>
  </si>
  <si>
    <t>BETÓN</t>
  </si>
  <si>
    <t>HORMIGÓN</t>
  </si>
  <si>
    <t>BETONG</t>
  </si>
  <si>
    <t>ACCIAIO</t>
  </si>
  <si>
    <t>OCEL</t>
  </si>
  <si>
    <t>钢材</t>
  </si>
  <si>
    <t>ŽELJEZO</t>
  </si>
  <si>
    <t>ACIER</t>
  </si>
  <si>
    <t>スティール</t>
  </si>
  <si>
    <t>ΑΤΣΑΛΙ</t>
  </si>
  <si>
    <t>STEEL</t>
  </si>
  <si>
    <t>TĒRAUDS</t>
  </si>
  <si>
    <t>STAL</t>
  </si>
  <si>
    <t>AÇO</t>
  </si>
  <si>
    <t>OȚEL</t>
  </si>
  <si>
    <t>СТАЛЬ</t>
  </si>
  <si>
    <t>JEKLO</t>
  </si>
  <si>
    <t>ACERO</t>
  </si>
  <si>
    <t>STÅL</t>
  </si>
  <si>
    <t>STAHL</t>
  </si>
  <si>
    <t>ÇELİK</t>
  </si>
  <si>
    <t>ACÉL</t>
  </si>
  <si>
    <t>Descrizione</t>
  </si>
  <si>
    <t>Popis</t>
  </si>
  <si>
    <t>描述</t>
  </si>
  <si>
    <t>Opis</t>
  </si>
  <si>
    <t>Description</t>
  </si>
  <si>
    <t>概要</t>
  </si>
  <si>
    <t>Περιγραφή</t>
  </si>
  <si>
    <t>Apraksts</t>
  </si>
  <si>
    <t>Descrição</t>
  </si>
  <si>
    <t>Descriere</t>
  </si>
  <si>
    <t>Описание</t>
  </si>
  <si>
    <t>Descripción</t>
  </si>
  <si>
    <t>Beskrivning</t>
  </si>
  <si>
    <t>Beschreibung</t>
  </si>
  <si>
    <t>Açıklama</t>
  </si>
  <si>
    <t>Leírás</t>
  </si>
  <si>
    <t>n.</t>
  </si>
  <si>
    <t>č.</t>
  </si>
  <si>
    <t>编号</t>
  </si>
  <si>
    <t>Ne.</t>
  </si>
  <si>
    <t>Non.</t>
  </si>
  <si>
    <t>番号</t>
  </si>
  <si>
    <t>Αρ.</t>
  </si>
  <si>
    <t>No.</t>
  </si>
  <si>
    <t>Nr.</t>
  </si>
  <si>
    <t>Num.</t>
  </si>
  <si>
    <t>Нет.</t>
  </si>
  <si>
    <t>Č.</t>
  </si>
  <si>
    <t>Št.</t>
  </si>
  <si>
    <t xml:space="preserve">Num. </t>
  </si>
  <si>
    <t>Nej.</t>
  </si>
  <si>
    <t>Numara.</t>
  </si>
  <si>
    <t>Sorszám</t>
  </si>
  <si>
    <t>Prezzo Lordo</t>
  </si>
  <si>
    <t>Doporučená cena</t>
  </si>
  <si>
    <t>价格</t>
  </si>
  <si>
    <t>Lord Price</t>
  </si>
  <si>
    <t>Prix Lordo</t>
  </si>
  <si>
    <t>税込み総額</t>
  </si>
  <si>
    <t>Ακαθάριστη τιμή</t>
  </si>
  <si>
    <t>Cena</t>
  </si>
  <si>
    <t>PREÇO BRUTO</t>
  </si>
  <si>
    <t>Prețul Domnului</t>
  </si>
  <si>
    <t>Лордо Цена</t>
  </si>
  <si>
    <t>Lord Cena</t>
  </si>
  <si>
    <t xml:space="preserve">precio bruto  </t>
  </si>
  <si>
    <t>Bruttopreis</t>
  </si>
  <si>
    <t>Lord Fiyat</t>
  </si>
  <si>
    <t>Ár</t>
  </si>
  <si>
    <t>Subtotale Lordo</t>
  </si>
  <si>
    <t>Mezisoučet (dop. ceny)</t>
  </si>
  <si>
    <t>主小计</t>
  </si>
  <si>
    <t>Lord Međuzbir</t>
  </si>
  <si>
    <t>Sous-total Lord</t>
  </si>
  <si>
    <t>税込み小計</t>
  </si>
  <si>
    <t>Μικτό υποσύνολο</t>
  </si>
  <si>
    <t>Lord Subtotal</t>
  </si>
  <si>
    <t>Starpsumma</t>
  </si>
  <si>
    <t>Suma pośrednia Brutto</t>
  </si>
  <si>
    <t>SUBTOTAL BRUTO</t>
  </si>
  <si>
    <t>Лордо Итого</t>
  </si>
  <si>
    <t>Lord Medzisúčet</t>
  </si>
  <si>
    <t>Lord vmesni seštevek</t>
  </si>
  <si>
    <t>Subtotal bruto</t>
  </si>
  <si>
    <t>Gesamtpreis</t>
  </si>
  <si>
    <t>Lord Ara Toplamı</t>
  </si>
  <si>
    <t>Részösszeg</t>
  </si>
  <si>
    <t>Sconto</t>
  </si>
  <si>
    <t>Sleva</t>
  </si>
  <si>
    <t>折扣</t>
  </si>
  <si>
    <t>Popust</t>
  </si>
  <si>
    <t>REMISE</t>
  </si>
  <si>
    <t>割引</t>
  </si>
  <si>
    <t>Εκπτωση</t>
  </si>
  <si>
    <t>Discount</t>
  </si>
  <si>
    <t>Atlaide</t>
  </si>
  <si>
    <t>Zniżka</t>
  </si>
  <si>
    <t>Desconto</t>
  </si>
  <si>
    <t>Reducere</t>
  </si>
  <si>
    <t>Скидка</t>
  </si>
  <si>
    <t>Zľava</t>
  </si>
  <si>
    <t>Descuento</t>
  </si>
  <si>
    <t>Rabatt</t>
  </si>
  <si>
    <t>İndirim</t>
  </si>
  <si>
    <t>Kedvezmény</t>
  </si>
  <si>
    <t>ACCESSORI</t>
  </si>
  <si>
    <t>PŘÍSLUŠENSTVÍ</t>
  </si>
  <si>
    <t>配件</t>
  </si>
  <si>
    <t>PRIBOR</t>
  </si>
  <si>
    <t>ACCESSOIRES</t>
  </si>
  <si>
    <t>付属品</t>
  </si>
  <si>
    <t>ΑΞΕΣΟΥΑΡ</t>
  </si>
  <si>
    <t>ACCESSORIES</t>
  </si>
  <si>
    <t>PIEDERUMI</t>
  </si>
  <si>
    <t>AKCESORIA</t>
  </si>
  <si>
    <t>ACESSÓRIOS</t>
  </si>
  <si>
    <t>ACCESORII</t>
  </si>
  <si>
    <t>АКСЕССУАРЫ</t>
  </si>
  <si>
    <t>PRÍSLUŠENSTVO</t>
  </si>
  <si>
    <t>DODATKI</t>
  </si>
  <si>
    <t>ACCESORIOS</t>
  </si>
  <si>
    <t>TILLBEHÖR</t>
  </si>
  <si>
    <t>ZUBEHÖR</t>
  </si>
  <si>
    <t>AKSESUARLAR</t>
  </si>
  <si>
    <t>KIEGÉSZÍTŐK</t>
  </si>
  <si>
    <t>TIPO DI SCALA</t>
  </si>
  <si>
    <t>TYP ŽEBŘÍKU</t>
  </si>
  <si>
    <t>梯子类型</t>
  </si>
  <si>
    <t>TIP LJESTAVA</t>
  </si>
  <si>
    <t>TYPE D'ÉCHELLE</t>
  </si>
  <si>
    <t>梯子のタイプ</t>
  </si>
  <si>
    <t>ΤΥΠΟΣ ΣΚΑΛΑΣ</t>
  </si>
  <si>
    <t>LADDER TYPE</t>
  </si>
  <si>
    <t>KĀPŅU TIPS</t>
  </si>
  <si>
    <t>TYP DRABINY</t>
  </si>
  <si>
    <t>TIPO DE ESCADA</t>
  </si>
  <si>
    <t>TIPUL DE SCĂRIȚĂ</t>
  </si>
  <si>
    <t>ТИП МАСШТАБА</t>
  </si>
  <si>
    <t>TYP LADDER</t>
  </si>
  <si>
    <t>VRSTA LEŽIŠČA</t>
  </si>
  <si>
    <t>Tipo de escalera</t>
  </si>
  <si>
    <t>LEITERTYP</t>
  </si>
  <si>
    <t>MERDİVEN TİPİ</t>
  </si>
  <si>
    <t>LÉTRA TÍPUS</t>
  </si>
  <si>
    <t>Normativa</t>
  </si>
  <si>
    <t>Standardní</t>
  </si>
  <si>
    <t>规范性</t>
  </si>
  <si>
    <t>Normativ</t>
  </si>
  <si>
    <t>NORMATIF</t>
  </si>
  <si>
    <t>基準</t>
  </si>
  <si>
    <t>Κανονισμός</t>
  </si>
  <si>
    <t>Normative</t>
  </si>
  <si>
    <t>Normatīvs</t>
  </si>
  <si>
    <t>Normatywne</t>
  </si>
  <si>
    <t>Norma</t>
  </si>
  <si>
    <t>НОРМАТИВ</t>
  </si>
  <si>
    <t>Normatívne</t>
  </si>
  <si>
    <t>Normativni</t>
  </si>
  <si>
    <t xml:space="preserve">Normativa  </t>
  </si>
  <si>
    <t>NORMATIV</t>
  </si>
  <si>
    <t>normatif</t>
  </si>
  <si>
    <t>Normatív</t>
  </si>
  <si>
    <t>CON GABBIA</t>
  </si>
  <si>
    <t>S KOŠEM</t>
  </si>
  <si>
    <t>带笼</t>
  </si>
  <si>
    <t>S KAVEZOM</t>
  </si>
  <si>
    <t>A CRINOLINE</t>
  </si>
  <si>
    <t>ケージ付き</t>
  </si>
  <si>
    <t>ΜΕ ΚΛΩΒΟ</t>
  </si>
  <si>
    <t>WITH CAGE</t>
  </si>
  <si>
    <t xml:space="preserve">AR drošības karkasu </t>
  </si>
  <si>
    <t>Z KLATKĄ</t>
  </si>
  <si>
    <t>COM GAIOLA</t>
  </si>
  <si>
    <t>CU CU CUȘCĂ</t>
  </si>
  <si>
    <t>С КЛЕТКОЙ</t>
  </si>
  <si>
    <t>S KLIETKOU</t>
  </si>
  <si>
    <t>S KLETKO</t>
  </si>
  <si>
    <t>CON JAULA</t>
  </si>
  <si>
    <t>MED BUR</t>
  </si>
  <si>
    <t>MIT KÄFIG</t>
  </si>
  <si>
    <t>KAFESLİ</t>
  </si>
  <si>
    <t>KERETTEL</t>
  </si>
  <si>
    <t>SENZA GABBIA</t>
  </si>
  <si>
    <t>BEZ KOŠE</t>
  </si>
  <si>
    <t>无笼</t>
  </si>
  <si>
    <t>BEZ KAVEZA</t>
  </si>
  <si>
    <t>SANS CRINOLINE</t>
  </si>
  <si>
    <t>ケージなし</t>
  </si>
  <si>
    <t>ΧΩΡΙΣ ΚΛΩΒΟ</t>
  </si>
  <si>
    <t>WITHOUT CAGE</t>
  </si>
  <si>
    <t>BEZ drošības KARKASA</t>
  </si>
  <si>
    <t>BEZ KLATKI</t>
  </si>
  <si>
    <t>SEM GAIOLA</t>
  </si>
  <si>
    <t>FĂRĂ CUȘCĂ</t>
  </si>
  <si>
    <t>БЕЗ КЛЕТКИ</t>
  </si>
  <si>
    <t>BEZ KLIETKY</t>
  </si>
  <si>
    <t>BREZ KLETKE</t>
  </si>
  <si>
    <t>SIN JAULA</t>
  </si>
  <si>
    <t>UTAN BUR</t>
  </si>
  <si>
    <t>OHNE KÄFIG</t>
  </si>
  <si>
    <t>KAFESSİZ</t>
  </si>
  <si>
    <t>KERET NÉLKÜL</t>
  </si>
  <si>
    <t>NO</t>
  </si>
  <si>
    <t>NE</t>
  </si>
  <si>
    <t>否</t>
  </si>
  <si>
    <t>NON</t>
  </si>
  <si>
    <t>いいえ</t>
  </si>
  <si>
    <t>ΟΧΙ</t>
  </si>
  <si>
    <t>BEZ</t>
  </si>
  <si>
    <t>NIE</t>
  </si>
  <si>
    <t>NÃO</t>
  </si>
  <si>
    <t>NU</t>
  </si>
  <si>
    <t>НЕТ</t>
  </si>
  <si>
    <t>NEJ</t>
  </si>
  <si>
    <t>NEIN</t>
  </si>
  <si>
    <t>NUMARA</t>
  </si>
  <si>
    <t>NEM</t>
  </si>
  <si>
    <t>SI</t>
  </si>
  <si>
    <t>ANO</t>
  </si>
  <si>
    <t>是</t>
  </si>
  <si>
    <t>DA</t>
  </si>
  <si>
    <t>OUI</t>
  </si>
  <si>
    <t>はい</t>
  </si>
  <si>
    <t>ΝΑΙ</t>
  </si>
  <si>
    <t>YES</t>
  </si>
  <si>
    <t>JĀ</t>
  </si>
  <si>
    <t>TAK</t>
  </si>
  <si>
    <t>SIM</t>
  </si>
  <si>
    <t>ДА</t>
  </si>
  <si>
    <t>ÁNO</t>
  </si>
  <si>
    <t>JA</t>
  </si>
  <si>
    <t>EVET</t>
  </si>
  <si>
    <t>IGEN</t>
  </si>
  <si>
    <t>Prezzo Netto</t>
  </si>
  <si>
    <t>Nákupní cena</t>
  </si>
  <si>
    <t>净价</t>
  </si>
  <si>
    <t>NETO cijena</t>
  </si>
  <si>
    <t>PRIX NET</t>
  </si>
  <si>
    <t>税抜き合計</t>
  </si>
  <si>
    <t>Καθαρή τιμή</t>
  </si>
  <si>
    <t>Net Price</t>
  </si>
  <si>
    <t>Neto cena</t>
  </si>
  <si>
    <t>Cena netto</t>
  </si>
  <si>
    <t>Preço líquido</t>
  </si>
  <si>
    <t>Preț net</t>
  </si>
  <si>
    <t>ЧИСТАЯ ЦЕНА</t>
  </si>
  <si>
    <t>Čistá cena</t>
  </si>
  <si>
    <t>Precio Neto</t>
  </si>
  <si>
    <t>Nettopris</t>
  </si>
  <si>
    <t>NETTO-PREIS</t>
  </si>
  <si>
    <t>Net fiyat</t>
  </si>
  <si>
    <t>Nettó ár</t>
  </si>
  <si>
    <t>ALTEZZA ALLO SBARCO</t>
  </si>
  <si>
    <t>POTŘEBNÁ VÝŠKA</t>
  </si>
  <si>
    <t>到达的高度</t>
  </si>
  <si>
    <t>VISINA ZA DOSEGNUTI</t>
  </si>
  <si>
    <t>HAUTEUR À L'ATTERRISSAGE</t>
  </si>
  <si>
    <t>到達できる高さ</t>
  </si>
  <si>
    <t>ΜΕΓΙΣΤΟ ΥΨΟΣ</t>
  </si>
  <si>
    <t>HEIGHT TO REACH</t>
  </si>
  <si>
    <t>AUGSTUMS LĪDZ SASNIEDZAMAJAM PUNKTAM</t>
  </si>
  <si>
    <t>WYSOKOŚĆ DO OSIĄGNIĘCIA</t>
  </si>
  <si>
    <t>ALTURA A ATINGIR</t>
  </si>
  <si>
    <t>ÎNĂLȚIME PENTRU A AJUNGE</t>
  </si>
  <si>
    <t>ВЫСОТА ПРИ ПОСАДКЕ</t>
  </si>
  <si>
    <t>VÝŠKA NA DOSAH</t>
  </si>
  <si>
    <t>VIŠINA ZA DOSEGO</t>
  </si>
  <si>
    <t>ALTURA DE PLATAFORMA</t>
  </si>
  <si>
    <t>HÖJD ATT NÅ</t>
  </si>
  <si>
    <t>HÖHE BEI DER LANDUNG</t>
  </si>
  <si>
    <t>ULAŞILACAK YÜKSEKLİK</t>
  </si>
  <si>
    <t>ELÉRENDŐ MAGASSÁG</t>
  </si>
  <si>
    <t>PROFONDITA' STAFFE</t>
  </si>
  <si>
    <t>VELKOST DRŽÁKU</t>
  </si>
  <si>
    <t>支架尺寸</t>
  </si>
  <si>
    <t>VELIČINA NOSAČA</t>
  </si>
  <si>
    <t>PROFONDEUR DES STIRRUPS</t>
  </si>
  <si>
    <t>ブラケット寸法</t>
  </si>
  <si>
    <t>ΜΕΓΕΘΟΣ ΛΑΒΗΣ</t>
  </si>
  <si>
    <t>BRACKET SIZE</t>
  </si>
  <si>
    <t>STIPRINĀJUMA IZMĒRS</t>
  </si>
  <si>
    <t>ROZMIAR WSPORNIKA</t>
  </si>
  <si>
    <t>TAMANHO DE BRACKET</t>
  </si>
  <si>
    <t>DIMENSIUNEA SUPORTULUI</t>
  </si>
  <si>
    <t>ГЛУБИНА СТИРРУПОВ</t>
  </si>
  <si>
    <t>VEĽKOSŤ DRŽIAKA</t>
  </si>
  <si>
    <t>VELIKOST NOSILCA</t>
  </si>
  <si>
    <t>PROFUNDIDAD DE SOPORTE</t>
  </si>
  <si>
    <t>FÄLGSTORLEK</t>
  </si>
  <si>
    <t>Befestigungs Tiefe</t>
  </si>
  <si>
    <t>BRAKET BOYUTU</t>
  </si>
  <si>
    <t>RÖGZÍTŐ MÉRETE</t>
  </si>
  <si>
    <t xml:space="preserve">PROTEZIONE FINALE </t>
  </si>
  <si>
    <t xml:space="preserve">KONEČNÁ OCHRANA </t>
  </si>
  <si>
    <t>最终保护</t>
  </si>
  <si>
    <t>ZAVRŠNA ZAŠTITA</t>
  </si>
  <si>
    <t xml:space="preserve">PROTECTION DÉFINITIVE </t>
  </si>
  <si>
    <t>最終プロテクション</t>
  </si>
  <si>
    <t>ΤΕΛΙΚΗ ΠΡΟΣΤΑΣΙΑ</t>
  </si>
  <si>
    <t>FINAL PROTECTION</t>
  </si>
  <si>
    <t>GALA AIZSARDZĪBA</t>
  </si>
  <si>
    <t>OCHRONA KOŃCOWA</t>
  </si>
  <si>
    <t>PROTECÇÃO FINAL</t>
  </si>
  <si>
    <t>PROTECȚIE FINALĂ</t>
  </si>
  <si>
    <t xml:space="preserve">ОКОНЧАТЕЛЬНАЯ ЗАЩИТА </t>
  </si>
  <si>
    <t>KONEČNÁ OCHRANA</t>
  </si>
  <si>
    <t>KONČNA ZAŠČITA</t>
  </si>
  <si>
    <t xml:space="preserve">PROTECCIÓN FINAL </t>
  </si>
  <si>
    <t>SLUTSKYDD</t>
  </si>
  <si>
    <t>entgültige Sicherung</t>
  </si>
  <si>
    <t>SON KORUMA</t>
  </si>
  <si>
    <t>VÉGSŐ VÉDELEM</t>
  </si>
  <si>
    <t>ESTENSIONE RIMOVIBILE</t>
  </si>
  <si>
    <t>ODNÍMATELNÉ ROZŠÍŘENÍ</t>
  </si>
  <si>
    <t>可移动的延伸部分</t>
  </si>
  <si>
    <t>NADOGRADNJA KOJA SE MOŽE UKLONITI</t>
  </si>
  <si>
    <t>EXTENSION AMOVIBLE</t>
  </si>
  <si>
    <t>取外し可能なエクステンション</t>
  </si>
  <si>
    <t>ΑΦΑΙΡΟΥΜΕΝΗ ΕΠΕΚΤΑΣΗ</t>
  </si>
  <si>
    <t>REMOVABLE EXTENSION</t>
  </si>
  <si>
    <t>NOŅEMAMS PAGARINĀJUMS</t>
  </si>
  <si>
    <t>ZDEJMOWANE PRZEDŁUŻENIE</t>
  </si>
  <si>
    <t>EXTENSÃO AMOVÍVEL</t>
  </si>
  <si>
    <t>EXTENSIE DETAȘABILĂ</t>
  </si>
  <si>
    <t>СЪЕМНЫЙ УДЛИНИТЕЛЬ</t>
  </si>
  <si>
    <t>ODNÍMATEĽNÝ NADSTAVEC</t>
  </si>
  <si>
    <t>ODSTRANLJIV PODALJŠEK</t>
  </si>
  <si>
    <t>EXTENSIÓN REMOVIBLE</t>
  </si>
  <si>
    <t>AVLÄGGBAR UTVIDGNING</t>
  </si>
  <si>
    <t>ABNEHMBARE VERLÄNGERUNG</t>
  </si>
  <si>
    <t>ÇIKARILABİLİR UZATMA</t>
  </si>
  <si>
    <t>LEVEHETŐ HOSSZABBÍTÓ</t>
  </si>
  <si>
    <t>PEDANA DI SBARCO</t>
  </si>
  <si>
    <t>VSTUPNÍ PLOŠINA</t>
  </si>
  <si>
    <t>着陆平台</t>
  </si>
  <si>
    <t>PLATFORMA ZA ISKRCAVANJE</t>
  </si>
  <si>
    <t>PLATE-FORME DE DÉBARQUEMENT</t>
  </si>
  <si>
    <t>ランディングプラットフォーム</t>
  </si>
  <si>
    <t>ΠΛΑΤΦΟΡΜΑ ΠΡΟΣΓΕΙΩΣΗΣ</t>
  </si>
  <si>
    <t>LANDING PLATFORM</t>
  </si>
  <si>
    <t>PIEZEMĒŠANĀS PLATFORMA</t>
  </si>
  <si>
    <t>PLATFORMA DO LĄDOWANIA</t>
  </si>
  <si>
    <t>PLATAFORMA DE ATERRAGEM</t>
  </si>
  <si>
    <t>PLATFORMĂ DE ATERIZARE</t>
  </si>
  <si>
    <t>ПЛАТФОРМА ДЛЯ ВЫСАДКИ</t>
  </si>
  <si>
    <t>PRISTÁVACIA PLOŠINA</t>
  </si>
  <si>
    <t>PLOŠČAD ZA PRISTAJANJE</t>
  </si>
  <si>
    <t>PLATAFORMA DE DESENBARCO</t>
  </si>
  <si>
    <t>LANDANDE PLATTFORM</t>
  </si>
  <si>
    <t>AUSSCHIFFUNGSPLATTFORM</t>
  </si>
  <si>
    <t>İNİŞ PLATFORMU</t>
  </si>
  <si>
    <t>FOGADÓ ÁLLOMÁS</t>
  </si>
  <si>
    <t>SBARCO 500x500</t>
  </si>
  <si>
    <t>PLOŠINA 500x500</t>
  </si>
  <si>
    <t>500x500着陆平台</t>
  </si>
  <si>
    <t>500x500 PODEST</t>
  </si>
  <si>
    <t>DÉCHARGEMENT 500x500</t>
  </si>
  <si>
    <t>ランディング 500x500</t>
  </si>
  <si>
    <t>500Χ500 ΠΡΟΣΓΕΙΩΣΗ</t>
  </si>
  <si>
    <t>500x500 LANDING</t>
  </si>
  <si>
    <t>500x500  PLATFORMA</t>
  </si>
  <si>
    <t>500x500 LĄDOWANIE</t>
  </si>
  <si>
    <t>500x500 ATERRAGEM</t>
  </si>
  <si>
    <t>500x500 ATERIZARE</t>
  </si>
  <si>
    <t>разгрузка 500х500</t>
  </si>
  <si>
    <t>500x500 PRÍSTAVNÁ PLOŠINA</t>
  </si>
  <si>
    <t>500x500 Pristanišče</t>
  </si>
  <si>
    <t>PLATAFORMA 500x500</t>
  </si>
  <si>
    <t>500x500 LANDNING</t>
  </si>
  <si>
    <t>ENTLADEN 500x500</t>
  </si>
  <si>
    <t>500x500 İNİŞ</t>
  </si>
  <si>
    <t>500x500 FOGADÓ</t>
  </si>
  <si>
    <t>SBARCO 500x750</t>
  </si>
  <si>
    <t>PLOŠINA 500x750</t>
  </si>
  <si>
    <t>500x750着陆平台</t>
  </si>
  <si>
    <t>500x750 PODEST</t>
  </si>
  <si>
    <t>DÉCHARGEMENT 500x750</t>
  </si>
  <si>
    <t>ランディング 500x750</t>
  </si>
  <si>
    <t>500x750 ΠΡΟΣΓΕΙΩΣΗ</t>
  </si>
  <si>
    <t>500x750 LANDING</t>
  </si>
  <si>
    <t xml:space="preserve">500x750 Platforma </t>
  </si>
  <si>
    <t>LĄDOWANIE 500x750</t>
  </si>
  <si>
    <t>500x750 ATERRAGEM</t>
  </si>
  <si>
    <t>500x750 Aterizare</t>
  </si>
  <si>
    <t>разгрузка 500x750</t>
  </si>
  <si>
    <t>500x750 PRÍSTAVNÁ PLOŠINA</t>
  </si>
  <si>
    <t>500x750 Pristanišče</t>
  </si>
  <si>
    <t>PLATAFORMA 500x750</t>
  </si>
  <si>
    <t>500x750 LANDNING</t>
  </si>
  <si>
    <t>ENTLADEN 500x750</t>
  </si>
  <si>
    <t>500x750 İNİŞ</t>
  </si>
  <si>
    <t>500x750 FOGADÓ</t>
  </si>
  <si>
    <t>PROTEZIONE SBARCO</t>
  </si>
  <si>
    <t>PLOŠINOVÝ RÁM</t>
  </si>
  <si>
    <t>着陆保护</t>
  </si>
  <si>
    <t>ZAŠTITA PODESTA</t>
  </si>
  <si>
    <t>PROTECTION À L'ATTERRISSAGE</t>
  </si>
  <si>
    <t>ランディングプロテクション</t>
  </si>
  <si>
    <t>ΠΡΟΣΤΑΣΙΑ ΠΡΟΣΓΕΙΩΣΗΣ</t>
  </si>
  <si>
    <t>LANDING PROTECTION</t>
  </si>
  <si>
    <t>Platformas AIZSARDZĪBA</t>
  </si>
  <si>
    <t>OCHRONA LĄDOWANIA</t>
  </si>
  <si>
    <t>PROTECÇÃO DE ATERRAGEM</t>
  </si>
  <si>
    <t>PROTECȚIE LA ATERIZARE</t>
  </si>
  <si>
    <t>ЗАЩИТА ПРИ ПОСАДКЕ</t>
  </si>
  <si>
    <t>OCHRANA PRI PRISTÁTÍ</t>
  </si>
  <si>
    <t>ZAŠČITA ZA PRISTAJANJE</t>
  </si>
  <si>
    <t>PROTECCIÓN DE PLATAFORMA</t>
  </si>
  <si>
    <t>LANDSKYDD</t>
  </si>
  <si>
    <t>LANDESCHUTZ</t>
  </si>
  <si>
    <t>İNİŞ KORUMASI</t>
  </si>
  <si>
    <t>LESZÁLLÁS ELLENI VÉDELEM</t>
  </si>
  <si>
    <t>PEDANA DI RIPOSO</t>
  </si>
  <si>
    <t>ODPOČINKOVÁ PLOŠINA</t>
  </si>
  <si>
    <t>休息平台</t>
  </si>
  <si>
    <t>OSTALE PLATFORME</t>
  </si>
  <si>
    <t>PLATE-FORME DE REPOS</t>
  </si>
  <si>
    <t>休息プラットフォーム</t>
  </si>
  <si>
    <t>ΠΛΑΤΦΟΡΜΑ ΞΕΚΟΥΡΑΣΗΣ</t>
  </si>
  <si>
    <t>REST PLATFORM</t>
  </si>
  <si>
    <t>Atpūtas PLATFORMA</t>
  </si>
  <si>
    <t>PLATFORMA WYPOCZYNKOWA</t>
  </si>
  <si>
    <t>PLATAFORMA DE REPOSO</t>
  </si>
  <si>
    <t>PLATFORMĂ DE ODIHNĂ</t>
  </si>
  <si>
    <t>ПЛАТФОРМА ДЛЯ ОТДЫХА</t>
  </si>
  <si>
    <t>PLATFORMA NA ODSTAVENIE</t>
  </si>
  <si>
    <t>PLATFORMA ZA POLETJE</t>
  </si>
  <si>
    <t>PLATAFORMA DE DESCANSO</t>
  </si>
  <si>
    <t>VILLA PLATTFORM</t>
  </si>
  <si>
    <t>Ruheplattform</t>
  </si>
  <si>
    <t>DİNLENME PLATFORMU</t>
  </si>
  <si>
    <t>PIHENŐPLATFORM</t>
  </si>
  <si>
    <t>PEDANA RIBALTABILE</t>
  </si>
  <si>
    <t>SKLÁPĚCÍ PLOŠINA</t>
  </si>
  <si>
    <t>可折叠平台</t>
  </si>
  <si>
    <t>SKLOPIVA PLATFORMA</t>
  </si>
  <si>
    <t>PLATE-FORME DE BASCULEMENT</t>
  </si>
  <si>
    <t>折りたたみ可プラットフォーム</t>
  </si>
  <si>
    <t>ΠΤΥΣΣΟΜΕΝΗ ΠΛΑΤΦΟΡΜΑ</t>
  </si>
  <si>
    <t>FOLDABLE PLATFORM</t>
  </si>
  <si>
    <t>SALOKĀMA PLATFORMA</t>
  </si>
  <si>
    <t>SKŁADANA PLATFORMA</t>
  </si>
  <si>
    <t>PLATAFORMA DOBRÁVEL</t>
  </si>
  <si>
    <t>PLATFORMĂ PLIABILĂ</t>
  </si>
  <si>
    <t>ОПРОКИДЫВАЮЩАЯСЯ ПЛАТФОРМА</t>
  </si>
  <si>
    <t>SKLADACIA PLOŠINA</t>
  </si>
  <si>
    <t>ZLOŽLJIVA PLOŠČAD</t>
  </si>
  <si>
    <t>PLATAFORMA BASCULANTE</t>
  </si>
  <si>
    <t>Fällbar plattform</t>
  </si>
  <si>
    <t>kippbare Plattform</t>
  </si>
  <si>
    <t>KATLANABİLİR PLATFORM</t>
  </si>
  <si>
    <t>ÖSSZECSUKHATÓ PLATFORM</t>
  </si>
  <si>
    <t>RIBALTABILE PER LV VERTICALE</t>
  </si>
  <si>
    <t>SKLÁPĚCÍ PLOŠINA PRO VERTIKÁLNÍ LS</t>
  </si>
  <si>
    <t>可折叠的VII平台</t>
  </si>
  <si>
    <t>MOGUĆE ZA VLL</t>
  </si>
  <si>
    <t>PLATE-FORME BASCULANTE POUR LV VERTICAL</t>
  </si>
  <si>
    <t>垂直ライフライン用折りたたみ</t>
  </si>
  <si>
    <t>ΠΤΥΣΣΟΜΕΝΗ ΓΙΑ VLL</t>
  </si>
  <si>
    <t>FOLDABLE FOR VLL</t>
  </si>
  <si>
    <t>SALOKĀMA priekš VLL</t>
  </si>
  <si>
    <t>SKŁADANY DO VLL</t>
  </si>
  <si>
    <t>DOBRÁVEL PARA VLL</t>
  </si>
  <si>
    <t>PLIABILĂ PENTRU VLL</t>
  </si>
  <si>
    <t>ОПРОКИДЫВАЮЩАЯСЯ ПЛАТФОРМА ДЛЯ ВЕРТИКАЛЬНЫХ ЛЬВОВ</t>
  </si>
  <si>
    <t>SKLADACIA PRE VLL</t>
  </si>
  <si>
    <t>ZLOŽLJIVA ZA VLL</t>
  </si>
  <si>
    <t>PLATAFORMA BASCULANTE PARA LV VERTICAL</t>
  </si>
  <si>
    <t>FALLBAR FÖR VLL</t>
  </si>
  <si>
    <t>kippbare Plattform für vertikale Lebenslinien</t>
  </si>
  <si>
    <t>VLL İÇİN KATLANABİLİR</t>
  </si>
  <si>
    <t>ÖSSZECSUKHATÓ A VLL-HEZ</t>
  </si>
  <si>
    <t>NORMATIVA PEDANA</t>
  </si>
  <si>
    <t>NORMATÍVNA PLOŠINA</t>
  </si>
  <si>
    <t>平台规范性</t>
  </si>
  <si>
    <t>PLATFORMA NORMATIVNA</t>
  </si>
  <si>
    <t>RÉGLEMENTATION DES PLATES-FORMES</t>
  </si>
  <si>
    <t>プラットフォームの基準</t>
  </si>
  <si>
    <t>ΚΑΝΟΝΙΚΗ ΠΛΑΤΦΟΡΜΑ</t>
  </si>
  <si>
    <t>PLATFORM NORMATIVE</t>
  </si>
  <si>
    <t>PLATFORMAs normatīvs</t>
  </si>
  <si>
    <t>PLATFORMA NORMATYWNA</t>
  </si>
  <si>
    <t>NORMA DA PLATAFORMA</t>
  </si>
  <si>
    <t>PLATFORMĂ NORMATIVĂ</t>
  </si>
  <si>
    <t>ПРАВИЛА ПЛАТФОРМЫ</t>
  </si>
  <si>
    <t>PLOŠINA NORMATÍVNA</t>
  </si>
  <si>
    <t>PLOŠČAD NORMATIVNA</t>
  </si>
  <si>
    <t>NORMAS DE LA PLATAFORMA</t>
  </si>
  <si>
    <t>PLATTFORM NORMATIV</t>
  </si>
  <si>
    <t>PLATTFORMVORSCHRIFTEN</t>
  </si>
  <si>
    <t>PLATFORM NORMATİFİ</t>
  </si>
  <si>
    <t>PLATFORM NORMATÍV</t>
  </si>
  <si>
    <t>BOTOLA DI CHIUSURA</t>
  </si>
  <si>
    <t>ZABEZPEČOVACÍ KRYT</t>
  </si>
  <si>
    <t>安全关闭</t>
  </si>
  <si>
    <t>SIGURNOSNO ZATVARANJE</t>
  </si>
  <si>
    <t>HATCH DE FERMETURE</t>
  </si>
  <si>
    <t>不法侵入防止ふた</t>
  </si>
  <si>
    <t>ΚΛΕΙΣΙΜΟ ΑΣΦΑΛΕΙΑΣ</t>
  </si>
  <si>
    <t>SECURITY CLOSURE</t>
  </si>
  <si>
    <t>DROŠĪBAS AIZVĒRŠANA</t>
  </si>
  <si>
    <t>ZAMKNIĘCIE BEZPIECZEŃSTWA</t>
  </si>
  <si>
    <t>PORTA DE SEGURANÇA</t>
  </si>
  <si>
    <t>ÎNCHIDERE DE SECURITATE</t>
  </si>
  <si>
    <t>ЗАКРЫВАЮЩАЯСЯ ШЛЯПА</t>
  </si>
  <si>
    <t>BEZPEČNOSTNÝ UZÁVER</t>
  </si>
  <si>
    <t>VARNOSTNO ZAPIRANJE</t>
  </si>
  <si>
    <t>TRAMPILLA ANTI-INTRUSIÓN</t>
  </si>
  <si>
    <t>SÄKERHETSSTÄNGNING</t>
  </si>
  <si>
    <t>Verschlusskappe</t>
  </si>
  <si>
    <t>GÜVENLİK KAPATMA</t>
  </si>
  <si>
    <t>BIZTONSÁGI ZÁR</t>
  </si>
  <si>
    <t>TIPO PIEDINI</t>
  </si>
  <si>
    <t>TYP NOHY</t>
  </si>
  <si>
    <t>脚踏类型</t>
  </si>
  <si>
    <t>VRSTA NOGE</t>
  </si>
  <si>
    <t>TYPE DE PIED</t>
  </si>
  <si>
    <t>脚の種類</t>
  </si>
  <si>
    <t>ΤΥΠΟΣ ΠΟΔΙΩΝ</t>
  </si>
  <si>
    <t>FEET TYPE</t>
  </si>
  <si>
    <t>PĒDU TIPS</t>
  </si>
  <si>
    <t>TYP STÓP</t>
  </si>
  <si>
    <t>TIPO DE PÉS</t>
  </si>
  <si>
    <t>TIP PICIOARE</t>
  </si>
  <si>
    <t>ТИП НОГИ</t>
  </si>
  <si>
    <t>TYP PÔD</t>
  </si>
  <si>
    <t>TIP STOPAL</t>
  </si>
  <si>
    <t>TIPO DE PIES</t>
  </si>
  <si>
    <t>FÖTTYP</t>
  </si>
  <si>
    <t>Fuß-typ</t>
  </si>
  <si>
    <t>AYAK TİPİ</t>
  </si>
  <si>
    <t>LÁBAK TÍPUSA</t>
  </si>
  <si>
    <t>PIEDINI REGOLABILI</t>
  </si>
  <si>
    <t>NASTAVITELNÉ NOŽIČKY</t>
  </si>
  <si>
    <t>可调节脚踏</t>
  </si>
  <si>
    <t>PRILAGODLJIVE NOGE</t>
  </si>
  <si>
    <t>PIEDS RÉGLABLES</t>
  </si>
  <si>
    <t>調整可能な脚</t>
  </si>
  <si>
    <t>ΡΥΘΜΙΖΟΜΕΝΑ ΠΟΔΙΑ</t>
  </si>
  <si>
    <t>ADJUSTABLE FEET</t>
  </si>
  <si>
    <t>REGULĒJAMAS KĀJAS</t>
  </si>
  <si>
    <t>REGULOWANY SPÓD</t>
  </si>
  <si>
    <t>PÉS AJUSTÁVEIS</t>
  </si>
  <si>
    <t>PICIOARE REGLABILE</t>
  </si>
  <si>
    <t>РЕГУЛИРУЕМЫЕ НОЖКИ</t>
  </si>
  <si>
    <t>NASTAVITEĽNÉ NOŽIČKY</t>
  </si>
  <si>
    <t>NASTAVLJIVE NOGE</t>
  </si>
  <si>
    <t>PIES AJUSTABLES</t>
  </si>
  <si>
    <t>JUSTERBARA FÖTTER</t>
  </si>
  <si>
    <t>STELLFÜSSE</t>
  </si>
  <si>
    <t>AYARLANABİLİR AYAK</t>
  </si>
  <si>
    <t>ÁLLÍTHATÓ LÁBAK</t>
  </si>
  <si>
    <t>PIEDINI SNODATI</t>
  </si>
  <si>
    <t>SKLOPNÉ NOHY</t>
  </si>
  <si>
    <t>铰链式脚踏</t>
  </si>
  <si>
    <t>RASKLOPLJIVE NOGE</t>
  </si>
  <si>
    <t>PIEDS ARTICULE'</t>
  </si>
  <si>
    <t>ヒンジ付脚</t>
  </si>
  <si>
    <t>ΚΑΛΥΜΕΝΑ ΠΟΔΙΑ</t>
  </si>
  <si>
    <t>HINGED FEET</t>
  </si>
  <si>
    <t>PĒDAS AR EŅĢĒM</t>
  </si>
  <si>
    <t>STOPKI NA ZAWIASACH</t>
  </si>
  <si>
    <t>PÉ ROTULADO</t>
  </si>
  <si>
    <t>PICIOARE CU BALAMALE</t>
  </si>
  <si>
    <t>СОЕДИНЕННЫЕ НОГИ</t>
  </si>
  <si>
    <t>PODPÄTIA NA KĽÚČIKOCH</t>
  </si>
  <si>
    <t>NOGE S KOTIČKAMI</t>
  </si>
  <si>
    <t>PIES ARTICULADOS</t>
  </si>
  <si>
    <t>GÅNGADE FÖTTER</t>
  </si>
  <si>
    <t>einstellbare Füße</t>
  </si>
  <si>
    <t>MENTEŞELİ AYAK</t>
  </si>
  <si>
    <t>FELSZERELHETŐ LÁBAK</t>
  </si>
  <si>
    <t>GANCIO PER SCALE</t>
  </si>
  <si>
    <t>HÁK PRO ŽEBŘÍKY</t>
  </si>
  <si>
    <t>梯子挂钩</t>
  </si>
  <si>
    <t>KUKA ZA LJESTVE</t>
  </si>
  <si>
    <t>CINTRE POUR ESCALIER</t>
  </si>
  <si>
    <t>梯子用フック</t>
  </si>
  <si>
    <t>ΓΑΝΤΖΟΣ ΓΙΑ ΣΚΑΛΕΣ</t>
  </si>
  <si>
    <t>HOOK FOR LADDERS</t>
  </si>
  <si>
    <t>ĀĶIS KĀPNĒM</t>
  </si>
  <si>
    <t>HAKI DO DRABIN</t>
  </si>
  <si>
    <t>ANZOL PARA ESCADAS</t>
  </si>
  <si>
    <t>CÂRLIG PENTRU SCĂRI</t>
  </si>
  <si>
    <t>ВЕШАЛКА ДЛЯ ЛЕСТНИЦЫ</t>
  </si>
  <si>
    <t>HÁK NA REBRÍKY</t>
  </si>
  <si>
    <t>KAVELJ ZA LESTVE</t>
  </si>
  <si>
    <t>GANCHO PARA ESCALERAS</t>
  </si>
  <si>
    <t>HOOK FÖR LADDERS</t>
  </si>
  <si>
    <t>Leiterhaken</t>
  </si>
  <si>
    <t>MERDİVEN KANCA</t>
  </si>
  <si>
    <t>LÉTRA AKASZTÓK</t>
  </si>
  <si>
    <t>MANIGLIONI</t>
  </si>
  <si>
    <t>ZÁBRADLÍ</t>
  </si>
  <si>
    <t>手柄</t>
  </si>
  <si>
    <t>RUČKE</t>
  </si>
  <si>
    <t>POIGNÉE</t>
  </si>
  <si>
    <t>ハンドル</t>
  </si>
  <si>
    <t>ΛΑΒΕΣ</t>
  </si>
  <si>
    <t>HANDLES</t>
  </si>
  <si>
    <t>ROKTURI</t>
  </si>
  <si>
    <t>UCHWYTY</t>
  </si>
  <si>
    <t>CORRIMÃO</t>
  </si>
  <si>
    <t>MÂNERE</t>
  </si>
  <si>
    <t>РУЧКА</t>
  </si>
  <si>
    <t>ÚCHYTKY</t>
  </si>
  <si>
    <t>ROČKE</t>
  </si>
  <si>
    <t>MANIJAS</t>
  </si>
  <si>
    <t>HANDTAG</t>
  </si>
  <si>
    <t>HANDLAUF</t>
  </si>
  <si>
    <t>KOLLAR</t>
  </si>
  <si>
    <t>KAPASZKODÓK</t>
  </si>
  <si>
    <t>MODULI SCALE</t>
  </si>
  <si>
    <t>ŽEBŘÍKOVÉ MODULY</t>
  </si>
  <si>
    <t>梯子组件</t>
  </si>
  <si>
    <t>MODULI LJESTAVA</t>
  </si>
  <si>
    <t>MODULES D'ÉCHELLE</t>
  </si>
  <si>
    <t>梯子モジュール</t>
  </si>
  <si>
    <t>ΤΜΗΜΑΤΑ ΣΚΑΛΑΣ</t>
  </si>
  <si>
    <t>LADDER MODULS</t>
  </si>
  <si>
    <t>Kāpņu MODUļi</t>
  </si>
  <si>
    <t>MODUŁY DRABINOWE</t>
  </si>
  <si>
    <t>MÓDULOS DE ESCADAS</t>
  </si>
  <si>
    <t>MODULURI PENTRU SCĂRIȚĂ</t>
  </si>
  <si>
    <t>ЛЕСТНИЧНЫЕ МОДУЛИ</t>
  </si>
  <si>
    <t>MODULY ŽEBRÍKOV</t>
  </si>
  <si>
    <t>MODULI ZA LESTVICE</t>
  </si>
  <si>
    <t>MÓDULOS DE ESCALERA</t>
  </si>
  <si>
    <t>Leitermodule</t>
  </si>
  <si>
    <t>MERDİVEN MODÜLLERİ</t>
  </si>
  <si>
    <t>LÉTRA MODULOK</t>
  </si>
  <si>
    <t>PZ</t>
  </si>
  <si>
    <t>POČET</t>
  </si>
  <si>
    <t>件</t>
  </si>
  <si>
    <t>PCS</t>
  </si>
  <si>
    <t>個数</t>
  </si>
  <si>
    <t>ΤΕΜ</t>
  </si>
  <si>
    <t>Gab</t>
  </si>
  <si>
    <t>SZT</t>
  </si>
  <si>
    <t>Pcs</t>
  </si>
  <si>
    <t>UD</t>
  </si>
  <si>
    <t>Stk.</t>
  </si>
  <si>
    <t>PC'ler</t>
  </si>
  <si>
    <t>DB</t>
  </si>
  <si>
    <t>Gruppo</t>
  </si>
  <si>
    <t>Skupina</t>
  </si>
  <si>
    <t>小组</t>
  </si>
  <si>
    <t>Groupe</t>
  </si>
  <si>
    <t>グループ</t>
  </si>
  <si>
    <t>Ομάδα</t>
  </si>
  <si>
    <t>Group</t>
  </si>
  <si>
    <t>Grupa</t>
  </si>
  <si>
    <t>Grupo</t>
  </si>
  <si>
    <t>Grup</t>
  </si>
  <si>
    <t>Группа</t>
  </si>
  <si>
    <t>Grupp</t>
  </si>
  <si>
    <t>Gruppe</t>
  </si>
  <si>
    <t>Csoport</t>
  </si>
  <si>
    <t>ASTE GABBIA</t>
  </si>
  <si>
    <t>PROFILOVÉ TYČE PRO KOŠ</t>
  </si>
  <si>
    <t>笼条</t>
  </si>
  <si>
    <t>ŠIPKE ZA KAVEZ</t>
  </si>
  <si>
    <t>TIGES DE CAGE</t>
  </si>
  <si>
    <t>ケージバー</t>
  </si>
  <si>
    <t>ΚΑΓΚΕΛΑ</t>
  </si>
  <si>
    <t>CAGE BARS</t>
  </si>
  <si>
    <t>Karkasa stieņi</t>
  </si>
  <si>
    <t>PRĘTY KLATKI</t>
  </si>
  <si>
    <t>BARRAS DA GAIOLA</t>
  </si>
  <si>
    <t>BARE DE CUȘCĂ</t>
  </si>
  <si>
    <t>СТЕРЖНИ КЛЕТКИ</t>
  </si>
  <si>
    <t>KLIETKOVÉ TYČE</t>
  </si>
  <si>
    <t>KLETKE ZA KLETKE</t>
  </si>
  <si>
    <t>BARRAS DE JAULA</t>
  </si>
  <si>
    <t>Käfigstangen</t>
  </si>
  <si>
    <t>KAFES BARLAR</t>
  </si>
  <si>
    <t>RÁCS ELEMEK</t>
  </si>
  <si>
    <t>ANELLI</t>
  </si>
  <si>
    <t>PRSTENCE KOŠE</t>
  </si>
  <si>
    <t>环</t>
  </si>
  <si>
    <t>PRSTENOVI</t>
  </si>
  <si>
    <t>BAGUES</t>
  </si>
  <si>
    <t>リング</t>
  </si>
  <si>
    <t>ΔΑΧΤΥΛΙΔΙΑ</t>
  </si>
  <si>
    <t>RINGS</t>
  </si>
  <si>
    <t>GREDZENI</t>
  </si>
  <si>
    <t>OBRĘCZE</t>
  </si>
  <si>
    <t>ANEIS</t>
  </si>
  <si>
    <t>ANULE</t>
  </si>
  <si>
    <t>КОЛЬЦА</t>
  </si>
  <si>
    <t>KRÚŽKY</t>
  </si>
  <si>
    <t>OBROČKI</t>
  </si>
  <si>
    <t>ANILLOS</t>
  </si>
  <si>
    <t>RINGAR</t>
  </si>
  <si>
    <t>RINGE</t>
  </si>
  <si>
    <t>YÜZÜKLER</t>
  </si>
  <si>
    <t>GYŰRŰK</t>
  </si>
  <si>
    <t>STAFFE</t>
  </si>
  <si>
    <t>DRŽÁK NA STĚNU</t>
  </si>
  <si>
    <t>支架</t>
  </si>
  <si>
    <t>NOSAČI</t>
  </si>
  <si>
    <t>SUPPORTS</t>
  </si>
  <si>
    <t>ブラケット</t>
  </si>
  <si>
    <t>BRACKETS</t>
  </si>
  <si>
    <t>STIPRINĀJUMI</t>
  </si>
  <si>
    <t>WSPORNIKI</t>
  </si>
  <si>
    <t>BRAȚE</t>
  </si>
  <si>
    <t>КРЕПЕЖ</t>
  </si>
  <si>
    <t>DRŽIAKY</t>
  </si>
  <si>
    <t>OHRANILA</t>
  </si>
  <si>
    <t>FÄSTER</t>
  </si>
  <si>
    <t>Klammern</t>
  </si>
  <si>
    <t>PARANTEZ</t>
  </si>
  <si>
    <t>TARTÓK</t>
  </si>
  <si>
    <t>GIUNZIONI</t>
  </si>
  <si>
    <t>ŽEBŘÍKOVÝ SPOJ</t>
  </si>
  <si>
    <t>连接件</t>
  </si>
  <si>
    <t>SPOJEVI</t>
  </si>
  <si>
    <t>JOINTS</t>
  </si>
  <si>
    <t>ジャンクション</t>
  </si>
  <si>
    <t>ΣΥΝΔΕΣΕΙΣ</t>
  </si>
  <si>
    <t>JUNCTIONS</t>
  </si>
  <si>
    <t>SAVIENOJUMI</t>
  </si>
  <si>
    <t>WĘZŁY</t>
  </si>
  <si>
    <t>JUNÇÕES</t>
  </si>
  <si>
    <t>JUNCȚIUNI</t>
  </si>
  <si>
    <t>СОЮЗЫ</t>
  </si>
  <si>
    <t>ARTICULACIONES</t>
  </si>
  <si>
    <t>Verbindung</t>
  </si>
  <si>
    <t>KAVŞAKLAR</t>
  </si>
  <si>
    <t>TOLDÓK</t>
  </si>
  <si>
    <t>TAPPI</t>
  </si>
  <si>
    <t>KRYTKY</t>
  </si>
  <si>
    <t>帽子</t>
  </si>
  <si>
    <t>KAPE</t>
  </si>
  <si>
    <t>CAPS</t>
  </si>
  <si>
    <t>キャップ</t>
  </si>
  <si>
    <t>Nosegi</t>
  </si>
  <si>
    <t>NASADY</t>
  </si>
  <si>
    <t>KAPSY</t>
  </si>
  <si>
    <t>ZAHTEVE</t>
  </si>
  <si>
    <t>TAPONES</t>
  </si>
  <si>
    <t>Kappen</t>
  </si>
  <si>
    <t>BÜYÜK HARF</t>
  </si>
  <si>
    <t>VÉGELEM</t>
  </si>
  <si>
    <t>TARGHETTA</t>
  </si>
  <si>
    <t>ŠTÍTEK</t>
  </si>
  <si>
    <t>标签</t>
  </si>
  <si>
    <t>OZNAKA</t>
  </si>
  <si>
    <t>TAG</t>
  </si>
  <si>
    <t>ラベル</t>
  </si>
  <si>
    <t>ΕΤΙΚΕΤΑ</t>
  </si>
  <si>
    <t>LABEL</t>
  </si>
  <si>
    <t>Norādījumu plāksne</t>
  </si>
  <si>
    <t>ETYKIETA</t>
  </si>
  <si>
    <t>TARGA</t>
  </si>
  <si>
    <t>ETICHETA</t>
  </si>
  <si>
    <t>ŠTÍTKY</t>
  </si>
  <si>
    <t>ETIKETE</t>
  </si>
  <si>
    <t>TARJETA</t>
  </si>
  <si>
    <t>MÄRKA</t>
  </si>
  <si>
    <t>Typenschild</t>
  </si>
  <si>
    <t>ETİKET</t>
  </si>
  <si>
    <t>CÍMKE</t>
  </si>
  <si>
    <t>FISSAGGI</t>
  </si>
  <si>
    <t>UPEVNĚNÍ</t>
  </si>
  <si>
    <t>紧固件</t>
  </si>
  <si>
    <t>PRIČVRŠĆIVANJE</t>
  </si>
  <si>
    <t>FIXATIONS</t>
  </si>
  <si>
    <t>締結具</t>
  </si>
  <si>
    <t>ΣΤΕΡΕΩΣΕΙΣ</t>
  </si>
  <si>
    <t>FASTENINGS</t>
  </si>
  <si>
    <t>Stiprinājumi</t>
  </si>
  <si>
    <t>MOCOWANIA</t>
  </si>
  <si>
    <t xml:space="preserve">FIXAÇÕES </t>
  </si>
  <si>
    <t>FIXAȚII</t>
  </si>
  <si>
    <t>ФИКСИРОВАНИЕ</t>
  </si>
  <si>
    <t>PRITRDILNI ELEMENTI</t>
  </si>
  <si>
    <t>FIJACIONES</t>
  </si>
  <si>
    <t>FÄSTNINGAR</t>
  </si>
  <si>
    <t>Befestigung</t>
  </si>
  <si>
    <t>BAĞLANTILAR</t>
  </si>
  <si>
    <t>RÖGZÍTŐK</t>
  </si>
  <si>
    <t>FISSAGGI STAFFE</t>
  </si>
  <si>
    <t>UPEVNĚNÍ DRŽÁKŮ</t>
  </si>
  <si>
    <t>支架固定件</t>
  </si>
  <si>
    <t>FIKSIRANJE NOSAČA</t>
  </si>
  <si>
    <t>FIXATIONS DES SUPPORTS</t>
  </si>
  <si>
    <t>ブラケットの締結具</t>
  </si>
  <si>
    <t>ΣΤΕΡΕΩΣΕΙΣ ΛΑΒΩΝ</t>
  </si>
  <si>
    <t>BRACKETS FIXINGS</t>
  </si>
  <si>
    <t>KRONŠTEINu STIPRINĀJUMI</t>
  </si>
  <si>
    <t>MOCOWANIA WSPORNIKÓW</t>
  </si>
  <si>
    <t>FIXAÇÕES DOS SUPORTES</t>
  </si>
  <si>
    <t>SUPORTURI DE FIXARE</t>
  </si>
  <si>
    <t>КРЕПЛЕНИЯ КРОНШТЕЙНОВ</t>
  </si>
  <si>
    <t>DRŽIAKY UPEVŇOVACIE PRVKY</t>
  </si>
  <si>
    <t>NOSILCI ZA PRITRDITEV</t>
  </si>
  <si>
    <t>FIJACIÓN DE SOPORTES</t>
  </si>
  <si>
    <t>FÄSTE Fästningar</t>
  </si>
  <si>
    <t>Klammerbefestigung</t>
  </si>
  <si>
    <t>BRAKET BAĞLANTILARI</t>
  </si>
  <si>
    <t>KONZOLOK RÖGZÍTÉSEK</t>
  </si>
  <si>
    <t>FISSAGGIO INTERMEDIO</t>
  </si>
  <si>
    <t>MEZILEHLÉ UPEVNĚNÍ</t>
  </si>
  <si>
    <t>中间固定装置</t>
  </si>
  <si>
    <t>FIKSIRANJE SREDNJIH NOSAČA</t>
  </si>
  <si>
    <t>FIXATION INTERMÉDIAIRE</t>
  </si>
  <si>
    <t>中間部の締結</t>
  </si>
  <si>
    <t>ΕΝΔΙΑΜΕΣΗ ΣΤΕΡΕΩΣΗ</t>
  </si>
  <si>
    <t>INTERMEDIATE FIXING</t>
  </si>
  <si>
    <t>STARPPOSMA STIPRINĀJUMS</t>
  </si>
  <si>
    <t>MOCOWANIE POŚREDNIE</t>
  </si>
  <si>
    <t>FIXAÇÃO INTERMÉDIA</t>
  </si>
  <si>
    <t>FIXARE INTERMEDIARĂ</t>
  </si>
  <si>
    <t>ПРОМЕЖУТОЧНОЕ КРЕПЛЕНИЕ</t>
  </si>
  <si>
    <t>MEDZIĽAHLÉ UPEVNENIE</t>
  </si>
  <si>
    <t>VMESNA PRITRDITEV</t>
  </si>
  <si>
    <t>FIJACIÓN INTERMEDIA</t>
  </si>
  <si>
    <t>MELLANFIKTNING</t>
  </si>
  <si>
    <t>ZWISCHENBEFESTIGUNG</t>
  </si>
  <si>
    <t>ARA SABİTLEME</t>
  </si>
  <si>
    <t>KÖZBENSŐ RÖGZÍTÉS</t>
  </si>
  <si>
    <t>LINGUA TARGHETTA</t>
  </si>
  <si>
    <t>JAZYKOVÁ VERZE ŠTÍTKU</t>
  </si>
  <si>
    <t>标签语言</t>
  </si>
  <si>
    <t>JEZIK NA  OZNACI</t>
  </si>
  <si>
    <t>LANGUE DE LA PLAQUE SIGNALÉTIQUE</t>
  </si>
  <si>
    <t>ラベルの言語</t>
  </si>
  <si>
    <t>ΓΛΩΣΣΑ ΕΤΙΚΕΤΩΝ</t>
  </si>
  <si>
    <t>LABEL LANGUAGE</t>
  </si>
  <si>
    <t>Norādījumu plāksnes VALODAS</t>
  </si>
  <si>
    <t>JĘZYK ETYKIETY</t>
  </si>
  <si>
    <t>IDIOMA DA TARGA</t>
  </si>
  <si>
    <t>LIMBA ETICHETEI</t>
  </si>
  <si>
    <t>ПЛАСТИНЧАТЫЙ ЯЗЫЧОК</t>
  </si>
  <si>
    <t>JAZYK ŠTÍTKA</t>
  </si>
  <si>
    <t>JEZIK OZNAČBE</t>
  </si>
  <si>
    <t>IDIOMA DE LA TARJETA</t>
  </si>
  <si>
    <t>ETIKETTSPRÅK</t>
  </si>
  <si>
    <t>TYPENSCHILDSPRACHE</t>
  </si>
  <si>
    <t>ETİKET DİLİ</t>
  </si>
  <si>
    <t>CÍMKE NYELVE</t>
  </si>
  <si>
    <t>ESTENSIONE SUPERIORE</t>
  </si>
  <si>
    <t>HORNÍ ROZŠÍŘENÍ</t>
  </si>
  <si>
    <t>上部延伸件</t>
  </si>
  <si>
    <t>GORNJE PROŠIRENJE</t>
  </si>
  <si>
    <t>EXTENSION SUPÉRIEURE</t>
  </si>
  <si>
    <t>上部の延長</t>
  </si>
  <si>
    <t>ΑΝΩ ​​ΕΠΕΚΤΑΣΗ</t>
  </si>
  <si>
    <t>UPPER EXTENSION</t>
  </si>
  <si>
    <t>AUGŠĒJAIS PAGARINĀJUMS</t>
  </si>
  <si>
    <t>PRZEDŁUŻENIE GÓRNE</t>
  </si>
  <si>
    <t>EXTENSÃO SUPERIOR</t>
  </si>
  <si>
    <t>EXTENSIE SUPERIOARĂ</t>
  </si>
  <si>
    <t>ВЕРХНЕЕ РАСШИРЕНИЕ</t>
  </si>
  <si>
    <t>HORNÝ NADSTAVEC</t>
  </si>
  <si>
    <t>ZGORNJI PODALJŠEK</t>
  </si>
  <si>
    <t>EXTENSIÓN SUPERIOR</t>
  </si>
  <si>
    <t>ÖVRE UTVIDGNING</t>
  </si>
  <si>
    <t>OBERE VERLÄNGERUNG</t>
  </si>
  <si>
    <t>ÜST UZANTI</t>
  </si>
  <si>
    <t>FELSŐ MEGHOSSZABBÍTÁS</t>
  </si>
  <si>
    <t>INTERASSE INTERMEDI</t>
  </si>
  <si>
    <t>STŘEDOVÉ ROZPĚTÍ</t>
  </si>
  <si>
    <t>中间跨度</t>
  </si>
  <si>
    <t>SREDNJI PROSTOR</t>
  </si>
  <si>
    <t>EMPATTEMENT INTERMÉDIAIRE</t>
  </si>
  <si>
    <t>中間スパン</t>
  </si>
  <si>
    <t>ΕΝΔΙΑΜΕΣΟ ΑΝΟΙΓΜΑ</t>
  </si>
  <si>
    <t>INTERMEDIATE SPAN</t>
  </si>
  <si>
    <t>POŚREDNIA ROZPIĘTOŚĆ</t>
  </si>
  <si>
    <t>VÃO INTERMÉDIO</t>
  </si>
  <si>
    <t>EXTENSIE INTERMEDIARĂ</t>
  </si>
  <si>
    <t>ПРОМЕЖУТОЧНАЯ КОЛЁСНАЯ БАЗА</t>
  </si>
  <si>
    <t>MEDZIĽAHLÉ ROZPÄTIE</t>
  </si>
  <si>
    <t>VMESNI RAZPON</t>
  </si>
  <si>
    <t>DISTANCIA ENTRE INTERMEDIOS</t>
  </si>
  <si>
    <t>MELLANMELLAN SPAN</t>
  </si>
  <si>
    <t>ZWISCHENRADSTAND</t>
  </si>
  <si>
    <t>ORTA AÇIKLIK</t>
  </si>
  <si>
    <t>KÖZBENSŐ FESZTÁVOLSÁG</t>
  </si>
  <si>
    <t>INTERASSE 5 MT (SUGGERITO)</t>
  </si>
  <si>
    <t>ROZPĚTÍ 5 M (DOPORUČENÁ)</t>
  </si>
  <si>
    <t>跨度5米（建议）。</t>
  </si>
  <si>
    <t>PROSTOR 5 MT (PREPORUČENO)</t>
  </si>
  <si>
    <t>DISTANCE CENTRALE 5 MT (SUGGÉRÉE)</t>
  </si>
  <si>
    <t>スパン5M（推奨）</t>
  </si>
  <si>
    <t>ΑΝΟΙΓΜΑ 5 MT (ΠΡΟΤΕΙΝΟΜΕΝΟ)</t>
  </si>
  <si>
    <t>SPAN 5 MT (SUGGESTED)</t>
  </si>
  <si>
    <t>STARPPOSMS 5 MT (IETEICAMAIS)</t>
  </si>
  <si>
    <t>ROZPIĘTOŚĆ 5 MT (SUGEROWANA)</t>
  </si>
  <si>
    <t>INTERVALO DE 5 MT (SUGERIDO)</t>
  </si>
  <si>
    <t>DESCHIDERE 5 MT (SUGERATĂ)</t>
  </si>
  <si>
    <t>МЕЖОСЕВОЕ РАССТОЯНИЕ 5 МТ (ПРЕДЛАГАЕТСЯ)</t>
  </si>
  <si>
    <t>ROZPÄTIE 5 MT (NAVRHOVANÉ)</t>
  </si>
  <si>
    <t>RAZPON 5 MT (PREDLAGANO)</t>
  </si>
  <si>
    <t>DIST. ENTRE EJES 5 MT (SUGERIDO)</t>
  </si>
  <si>
    <t>SPAN 5 MT (FÖRESLAGT)</t>
  </si>
  <si>
    <t>ACHSABSTAND 5 MT (VORGESCHLAGEN)</t>
  </si>
  <si>
    <t>AÇIKLIK 5 MT (ÖNERİLEN)</t>
  </si>
  <si>
    <t>FESZTÁVOLSÁG 5 M (JAVASOLT)</t>
  </si>
  <si>
    <t>NESSUN INTERMEDIO</t>
  </si>
  <si>
    <t>ŽÁDNÝ MEZIPRODUKT</t>
  </si>
  <si>
    <t>没有中间件</t>
  </si>
  <si>
    <t>NEMA SREDNJEG</t>
  </si>
  <si>
    <t>PAS D'INTERMÉDIAIRE</t>
  </si>
  <si>
    <t>中間なし</t>
  </si>
  <si>
    <t>ΟΧΙ ΕΝΔΙΑΜΕΣΟ</t>
  </si>
  <si>
    <t>NO INTERMEDIATE</t>
  </si>
  <si>
    <t>BEZ STARPPOSMA</t>
  </si>
  <si>
    <t>BRAK POŚREDNICH</t>
  </si>
  <si>
    <t>SEM INTERMÉDIO</t>
  </si>
  <si>
    <t>FĂRĂ INTERMEDIAR</t>
  </si>
  <si>
    <t>БЕЗ ПРОМЕЖУТОЧНЫХ</t>
  </si>
  <si>
    <t>BEZ MEDZIPODSTAVCA</t>
  </si>
  <si>
    <t>BREZ VMESNEGA</t>
  </si>
  <si>
    <t>NINGÚN INTERMEDIO</t>
  </si>
  <si>
    <t>INGEN mellanliggande</t>
  </si>
  <si>
    <t>keine Zwischenhalterung</t>
  </si>
  <si>
    <t>ARA YOK</t>
  </si>
  <si>
    <t>NINCS KÖZTESELEM</t>
  </si>
  <si>
    <t>N.1 INTERMEDIO</t>
  </si>
  <si>
    <t>N.1 MEZIPRODUKT</t>
  </si>
  <si>
    <t>1号中间件</t>
  </si>
  <si>
    <t>Br. 1 SREDNJI</t>
  </si>
  <si>
    <t>N.1 INTERMÉDIAIRE</t>
  </si>
  <si>
    <t>No.1中間</t>
  </si>
  <si>
    <t>Νο 1 ΕΝΔΙΑΜΕΣΟ</t>
  </si>
  <si>
    <t>No. 1 INTERMEDIATE</t>
  </si>
  <si>
    <t>Nr. 1 starpposms</t>
  </si>
  <si>
    <t>Nr 1 POŚREDNI</t>
  </si>
  <si>
    <t>Nº 1 INTERMÉDIO</t>
  </si>
  <si>
    <t>Nr. 1 INTERMEDIAR</t>
  </si>
  <si>
    <t>N.1 ПРОМЕЖУТОЧНЫЙ</t>
  </si>
  <si>
    <t>č. 1 MEDZINÁRODNÉ</t>
  </si>
  <si>
    <t>št. 1 INTERMEDIATE</t>
  </si>
  <si>
    <t>Nr 1 MELLANMELLAN</t>
  </si>
  <si>
    <t>1 Zwischenhalterung</t>
  </si>
  <si>
    <t>1 ORTA</t>
  </si>
  <si>
    <t>1. sz. KÖZTES ELEM</t>
  </si>
  <si>
    <t>N.2 INTERMEDIO</t>
  </si>
  <si>
    <t>N.2 MEZIPRODUKT</t>
  </si>
  <si>
    <t>2号中间件</t>
  </si>
  <si>
    <t>Br. 2 SREDNJI</t>
  </si>
  <si>
    <t>N.2 INTERMÉDIAIRE</t>
  </si>
  <si>
    <t>No.2中間</t>
  </si>
  <si>
    <t>Αρ. 2 ΕΝΔΙΑΜΕΣΟΙ</t>
  </si>
  <si>
    <t>No. 2 INTERMEDIATES</t>
  </si>
  <si>
    <t>Nr. 2 starpposmi</t>
  </si>
  <si>
    <t>Nr 2 POŚREDNIKI</t>
  </si>
  <si>
    <t>N.º 2 INTERMÉDIOS</t>
  </si>
  <si>
    <t>Nr. 2 INTERMEDIARI</t>
  </si>
  <si>
    <t>N.2 ПРОМЕЖУТОЧНЫЙ</t>
  </si>
  <si>
    <t>č. 2 MEDZINÁRODNÉ</t>
  </si>
  <si>
    <t>št. 2 MEDNARODNI</t>
  </si>
  <si>
    <t>Nr 2 mellanhänder</t>
  </si>
  <si>
    <t>2 Zwischenhalterung</t>
  </si>
  <si>
    <t>2 ARA ÜRÜNLER</t>
  </si>
  <si>
    <t>2. sz. KÖZTES ELEM</t>
  </si>
  <si>
    <t>N.3 INTERMEDIO</t>
  </si>
  <si>
    <t>N.3 MEZIPRODUKT</t>
  </si>
  <si>
    <t>3号中间件</t>
  </si>
  <si>
    <t>Br. 3 SREDNJI</t>
  </si>
  <si>
    <t>N.3 INTERMÉDIAIRE</t>
  </si>
  <si>
    <t>No.3中間</t>
  </si>
  <si>
    <t>Αρ. 3 ΕΝΔΙΑΜΕΣΟΙ</t>
  </si>
  <si>
    <t>No. 3 INTERMEDIATES</t>
  </si>
  <si>
    <t>Nr. 3 starpposmi</t>
  </si>
  <si>
    <t>Nr 3 POŚREDNIKI</t>
  </si>
  <si>
    <t>N.º 3 INTERMÉDIOS</t>
  </si>
  <si>
    <t>Nr. 3 INTERMEDIARI</t>
  </si>
  <si>
    <t>N.3 ПРОМЕЖУТОЧНЫЙ</t>
  </si>
  <si>
    <t>č. 3 MEDZINÁRODNÉ</t>
  </si>
  <si>
    <t>št. 3 SREDNJEŠOLAKI</t>
  </si>
  <si>
    <t>Nr 3 INTERMEDIATER</t>
  </si>
  <si>
    <t>3 Zwischenhalterung</t>
  </si>
  <si>
    <t>3 ARA ÜRÜNLER</t>
  </si>
  <si>
    <t>3. sz. KÖZTES ELEM</t>
  </si>
  <si>
    <t>N.4 INTERMEDIO</t>
  </si>
  <si>
    <t>N.4 MEZIPRODUKT</t>
  </si>
  <si>
    <t>4号中间件</t>
  </si>
  <si>
    <t>Br. 4 SREDNJI</t>
  </si>
  <si>
    <t>N.4 INTERMÉDIAIRE</t>
  </si>
  <si>
    <t>No.4中間</t>
  </si>
  <si>
    <t>Αριθ. 4 ΕΝΔΙΑΜΕΣΟΙ</t>
  </si>
  <si>
    <t>No. 4 INTERMEDIATES</t>
  </si>
  <si>
    <t>Nr. 4 starpposmi</t>
  </si>
  <si>
    <t>Nr 4 POŚREDNIKI</t>
  </si>
  <si>
    <t>N.º 4 INTERMÉDIOS</t>
  </si>
  <si>
    <t>Nr. 4 INTERMEDIARI</t>
  </si>
  <si>
    <t>N.4 ПРОМЕЖУТОЧНЫЙ</t>
  </si>
  <si>
    <t>č. 4 INTERMEDIÁTI</t>
  </si>
  <si>
    <t>št. 4 INTERMEDIATI</t>
  </si>
  <si>
    <t>Nr 4 mellanhänder</t>
  </si>
  <si>
    <t>4 Zwischenhalterung</t>
  </si>
  <si>
    <t>4 ARA ÜRÜNLER</t>
  </si>
  <si>
    <t>4. sz. KÖZTES ELEM</t>
  </si>
  <si>
    <t>N.5 INTERMEDIO</t>
  </si>
  <si>
    <t>N.5 MEZIPRODUKT</t>
  </si>
  <si>
    <t>5号中间件</t>
  </si>
  <si>
    <t>Br. 5 SREDNJI</t>
  </si>
  <si>
    <t>N.5 INTERMÉDIAIRE</t>
  </si>
  <si>
    <t>No.5中間</t>
  </si>
  <si>
    <t>Νο 5 ΕΝΔΙΑΜΕΣΟΙ</t>
  </si>
  <si>
    <t>No. 5 INTERMEDIATES</t>
  </si>
  <si>
    <t>Nr. 5 starpposmi</t>
  </si>
  <si>
    <t>Nr 5 POŚREDNIKI</t>
  </si>
  <si>
    <t>No. 5 INTERMÉDIOS</t>
  </si>
  <si>
    <t>Nr. 5 INTERMEDIARI</t>
  </si>
  <si>
    <t>N.5 ПРОМЕЖУТОЧНЫЙ</t>
  </si>
  <si>
    <t>č. 5 STREDNODOBÍ</t>
  </si>
  <si>
    <t>št. 5 INTERMEDIATI</t>
  </si>
  <si>
    <t>Nr 5 mellanhänder</t>
  </si>
  <si>
    <t>5 Zwischenhalterung</t>
  </si>
  <si>
    <t>5 ARA ÜRÜNLER</t>
  </si>
  <si>
    <t>5. sz. KÖZTES ELEM</t>
  </si>
  <si>
    <t>NAVETTA INCLUSA</t>
  </si>
  <si>
    <t>VČETNĚ JEZDCE</t>
  </si>
  <si>
    <t>包括滑梭</t>
  </si>
  <si>
    <t>UKLJUČENA ŠUTLA</t>
  </si>
  <si>
    <t>NAVETTE INCLUSE</t>
  </si>
  <si>
    <t>シャトル同梱</t>
  </si>
  <si>
    <t>ΠΕΡΙΛΑΜΒΑΝΕΤΑΙ ΤΟ SHUTTLE</t>
  </si>
  <si>
    <t>INCLUDED SHUTTLE</t>
  </si>
  <si>
    <t>Slīdnis ietverts</t>
  </si>
  <si>
    <t>TRANSPORT W ZESTAWIE</t>
  </si>
  <si>
    <t>INCLUI SHUTTLE</t>
  </si>
  <si>
    <t>NAVETĂ INCLUSĂ</t>
  </si>
  <si>
    <t>ТРАНСФЕР ВКЛЮЧЕН</t>
  </si>
  <si>
    <t>VRÁTANE KYVADLOVEJ DOPRAVY</t>
  </si>
  <si>
    <t>VKLJUČENI SHUTTLE</t>
  </si>
  <si>
    <t>CARRIL INCLUIDO</t>
  </si>
  <si>
    <t>INKLUDERAD SKYDD</t>
  </si>
  <si>
    <t>GLEITER INBEGRIFFEN</t>
  </si>
  <si>
    <t>DAHİL SERVİS</t>
  </si>
  <si>
    <t>A KOCSIT TARTALMAZZA</t>
  </si>
  <si>
    <t>MANIGLIE</t>
  </si>
  <si>
    <t>RUKOJEŤE</t>
  </si>
  <si>
    <t>POIGNÉES</t>
  </si>
  <si>
    <t>ΧΕΙΡΟΛΑΒΕΣ</t>
  </si>
  <si>
    <t>Rokturi</t>
  </si>
  <si>
    <t>MANELE</t>
  </si>
  <si>
    <t>РУЧКИ</t>
  </si>
  <si>
    <t>MANETA</t>
  </si>
  <si>
    <t>GRIFFE</t>
  </si>
  <si>
    <t>FISSAGGIO ALLA BASE</t>
  </si>
  <si>
    <t>UPEVNĚNÍ ZÁKLADNY</t>
  </si>
  <si>
    <t>底座固定装置</t>
  </si>
  <si>
    <t>OSNOVNO FIKSIRANJE</t>
  </si>
  <si>
    <t>FIXATION À LA BASE</t>
  </si>
  <si>
    <t>ベース締結</t>
  </si>
  <si>
    <t>ΣΤΕΡΕΩΣΕΙΣ ΒΑΣΕΩΝ</t>
  </si>
  <si>
    <t>BASE FIXINGS</t>
  </si>
  <si>
    <t>BĀZES STIPRINĀJUMI</t>
  </si>
  <si>
    <t>MOCOWANIA PODSTAWOWE</t>
  </si>
  <si>
    <t>FIXAÇÕES DA BASE</t>
  </si>
  <si>
    <t>FIXAȚII DE BAZĂ</t>
  </si>
  <si>
    <t>КРЕПЛЕНИЕ К ОСНОВАНИЮ</t>
  </si>
  <si>
    <t>ZÁKLADŇOVÉ PRÍSLUŠENSTVO</t>
  </si>
  <si>
    <t>OHRANITVE ZA BAZO</t>
  </si>
  <si>
    <t>FIJACIÓN A LA BASE</t>
  </si>
  <si>
    <t>BASFIKSNINGAR</t>
  </si>
  <si>
    <t>BEFESTIGUNG AN DER BASIS</t>
  </si>
  <si>
    <t>TABAN DÜZENLEMELERİ</t>
  </si>
  <si>
    <t>ALSÓ RÖGZÍTÉSEK</t>
  </si>
  <si>
    <t>RINFORZO PER SCALE</t>
  </si>
  <si>
    <t>ZPEVNĚNÍ SCHODŮ</t>
  </si>
  <si>
    <t>梯子加固</t>
  </si>
  <si>
    <t>OJAČANJE LJESTAVA</t>
  </si>
  <si>
    <t>RENFORCEMENT DES ESCALIERS</t>
  </si>
  <si>
    <t>梯子の補強</t>
  </si>
  <si>
    <t>ΕΝΙΣΧΥΣΗ ΣΚΑΛΩΝ</t>
  </si>
  <si>
    <t>LADDER REINFORCEMENT</t>
  </si>
  <si>
    <t>KĀPŅU NOSTIPRINĀŠANA</t>
  </si>
  <si>
    <t>WZMOCNIENIE DRABINKI</t>
  </si>
  <si>
    <t>REFORÇO DE ESCADA</t>
  </si>
  <si>
    <t>CONSOLIDAREA SCĂRII</t>
  </si>
  <si>
    <t>УКРЕПЛЕНИЕ СТУПЕНЕЙ</t>
  </si>
  <si>
    <t>VYSTUŽENIE REBRÍKA</t>
  </si>
  <si>
    <t>OJAČITEV LESTVE</t>
  </si>
  <si>
    <t>REFUERZO DE ESCALERAS</t>
  </si>
  <si>
    <t>LADDERFORSTÄRKNING</t>
  </si>
  <si>
    <t>TREPPENBEWEHRUNG</t>
  </si>
  <si>
    <t>MERDİVEN GÜÇLENDİRME</t>
  </si>
  <si>
    <t>LÉTRA MEGERŐSÍTÉS</t>
  </si>
  <si>
    <t>Totale</t>
  </si>
  <si>
    <t>Celkem</t>
  </si>
  <si>
    <t>总数</t>
  </si>
  <si>
    <t>UKUPNO</t>
  </si>
  <si>
    <t>TOTAL</t>
  </si>
  <si>
    <t>合計</t>
  </si>
  <si>
    <t>ΣΥΝΟΛΟ</t>
  </si>
  <si>
    <t>KOPĀ</t>
  </si>
  <si>
    <t>CAŁKOWITY</t>
  </si>
  <si>
    <t>ВСЕГО</t>
  </si>
  <si>
    <t>SPOLU</t>
  </si>
  <si>
    <t>SKUPAJ</t>
  </si>
  <si>
    <t>gesamt</t>
  </si>
  <si>
    <t>TOPLAM</t>
  </si>
  <si>
    <t>ÖSSZES</t>
  </si>
  <si>
    <t>Totale prezzo Netto</t>
  </si>
  <si>
    <t>Celková cena Netto</t>
  </si>
  <si>
    <t>总净价</t>
  </si>
  <si>
    <t>Ukupna neto cijena</t>
  </si>
  <si>
    <t>PRIX NET TOTAL</t>
  </si>
  <si>
    <t>税抜き合計価格</t>
  </si>
  <si>
    <t>Συνολική Καθαρή Τιμή</t>
  </si>
  <si>
    <t>Total Net Price</t>
  </si>
  <si>
    <t>Kopējā neto cena</t>
  </si>
  <si>
    <t>Całkowita cena netto</t>
  </si>
  <si>
    <t>Preço total líquido</t>
  </si>
  <si>
    <t>Preț net total</t>
  </si>
  <si>
    <t>ОБЩАЯ ЧИСТАЯ ЦЕНА</t>
  </si>
  <si>
    <t>Celková čistá cena</t>
  </si>
  <si>
    <t>Skupna neto cena</t>
  </si>
  <si>
    <t>PRECIO NETO TOTAL</t>
  </si>
  <si>
    <t>Totalt nettopris</t>
  </si>
  <si>
    <t>Gesamtpreis netto</t>
  </si>
  <si>
    <t>Toplam Net Fiyat</t>
  </si>
  <si>
    <t>Teljes nettó ár</t>
  </si>
  <si>
    <t>Info Cliente</t>
  </si>
  <si>
    <t>Informace o zákazníkovi</t>
  </si>
  <si>
    <t>客户数据</t>
  </si>
  <si>
    <t>Podaci o klijentima</t>
  </si>
  <si>
    <t>Données du client</t>
  </si>
  <si>
    <t>顧客データ</t>
  </si>
  <si>
    <t>Δεδομένα πελατών</t>
  </si>
  <si>
    <t>Client data</t>
  </si>
  <si>
    <t>Klienta dati</t>
  </si>
  <si>
    <t>Dane klienta</t>
  </si>
  <si>
    <t>Dados do cliente</t>
  </si>
  <si>
    <t>Date despre client</t>
  </si>
  <si>
    <t>Данные клиента</t>
  </si>
  <si>
    <t>Údaje o klientovi</t>
  </si>
  <si>
    <t>Podatki o stranki</t>
  </si>
  <si>
    <t>Datos del cliente</t>
  </si>
  <si>
    <t>Kunddata</t>
  </si>
  <si>
    <t>Kundendaten</t>
  </si>
  <si>
    <t>müşteri verileri</t>
  </si>
  <si>
    <t>Ügyfél adatai</t>
  </si>
  <si>
    <t>Numero Cliente</t>
  </si>
  <si>
    <t>Číslo zákazníka</t>
  </si>
  <si>
    <t>客户编号</t>
  </si>
  <si>
    <t>Broj klijenta</t>
  </si>
  <si>
    <t>Numéro de client</t>
  </si>
  <si>
    <t>顧客番号</t>
  </si>
  <si>
    <t>Αριθμός πελάτη</t>
  </si>
  <si>
    <t>Client Number</t>
  </si>
  <si>
    <t>Klienta numurs</t>
  </si>
  <si>
    <t>Numer klienta</t>
  </si>
  <si>
    <t>Número de cliente</t>
  </si>
  <si>
    <t>Numărul clientului</t>
  </si>
  <si>
    <t>Номер клиента</t>
  </si>
  <si>
    <t>Číslo klienta</t>
  </si>
  <si>
    <t>Številka stranke</t>
  </si>
  <si>
    <t>Klient nummer</t>
  </si>
  <si>
    <t>Kundennummer</t>
  </si>
  <si>
    <t>Müşteri numarası</t>
  </si>
  <si>
    <t>Ügyfél száma</t>
  </si>
  <si>
    <t>Codice Semiramis</t>
  </si>
  <si>
    <t>Kód Semiramis</t>
  </si>
  <si>
    <t>Semiramis代码</t>
  </si>
  <si>
    <t>SemiramIS kod</t>
  </si>
  <si>
    <t>Code Semiramis</t>
  </si>
  <si>
    <t>セミラミスコード</t>
  </si>
  <si>
    <t>Κώδικας Semiramis</t>
  </si>
  <si>
    <t>Semiramis Code</t>
  </si>
  <si>
    <t>Semiramis kods</t>
  </si>
  <si>
    <t>Kod Semiramis</t>
  </si>
  <si>
    <t>Código Semiramis</t>
  </si>
  <si>
    <t>Cod Semiramis</t>
  </si>
  <si>
    <t>Код Семирамиды</t>
  </si>
  <si>
    <t>Koda Semiramis</t>
  </si>
  <si>
    <t>Semiramis -kod</t>
  </si>
  <si>
    <t>Semiramis-Code</t>
  </si>
  <si>
    <t>Semiramis Kodu</t>
  </si>
  <si>
    <t>Semiramis kód</t>
  </si>
  <si>
    <t>Nome Cliente</t>
  </si>
  <si>
    <t>Jméno zákazníka</t>
  </si>
  <si>
    <t>客户名称</t>
  </si>
  <si>
    <t>ime klijenta</t>
  </si>
  <si>
    <t>Nom du client</t>
  </si>
  <si>
    <t>顧客名</t>
  </si>
  <si>
    <t>Όνομα Πελάτη</t>
  </si>
  <si>
    <t>Client Name</t>
  </si>
  <si>
    <t>Klienta nosaukums</t>
  </si>
  <si>
    <t>Nazwa klienta</t>
  </si>
  <si>
    <t>Nome do cliente</t>
  </si>
  <si>
    <t>Numele clientului</t>
  </si>
  <si>
    <t>имя клиента</t>
  </si>
  <si>
    <t>Názov klienta</t>
  </si>
  <si>
    <t>Ime stranke</t>
  </si>
  <si>
    <t>Nombre del cliente</t>
  </si>
  <si>
    <t>Kundnamn</t>
  </si>
  <si>
    <t>Name des Kunden</t>
  </si>
  <si>
    <t>Müşteri Adı</t>
  </si>
  <si>
    <t>Ügyfél neve</t>
  </si>
  <si>
    <t xml:space="preserve">Email </t>
  </si>
  <si>
    <t xml:space="preserve">E-mail </t>
  </si>
  <si>
    <t>电子邮件</t>
  </si>
  <si>
    <t>E -pošta</t>
  </si>
  <si>
    <t>Courriel</t>
  </si>
  <si>
    <t>Eメール</t>
  </si>
  <si>
    <t>ΗΛΕΚΤΡΟΝΙΚΗ ΔΙΕΥΘΥΝΣΗ</t>
  </si>
  <si>
    <t>Email</t>
  </si>
  <si>
    <t>E-pasts</t>
  </si>
  <si>
    <t>E-mail</t>
  </si>
  <si>
    <t>Электронное письмо</t>
  </si>
  <si>
    <t>Elektronska pošta</t>
  </si>
  <si>
    <t>Correo electrónico</t>
  </si>
  <si>
    <t>E-post</t>
  </si>
  <si>
    <t>E-Mail</t>
  </si>
  <si>
    <t>E-posta</t>
  </si>
  <si>
    <t>Telefono</t>
  </si>
  <si>
    <t>Telefon</t>
  </si>
  <si>
    <t>电话</t>
  </si>
  <si>
    <t>Téléphone</t>
  </si>
  <si>
    <t>電話</t>
  </si>
  <si>
    <t>Τηλέφωνο</t>
  </si>
  <si>
    <t>Phone</t>
  </si>
  <si>
    <t>Tālrunis</t>
  </si>
  <si>
    <t>Telefone</t>
  </si>
  <si>
    <t>Телефон</t>
  </si>
  <si>
    <t>Telefón</t>
  </si>
  <si>
    <t>Teléfono</t>
  </si>
  <si>
    <t>Sito Web</t>
  </si>
  <si>
    <t>Internetové stránky</t>
  </si>
  <si>
    <t>网站</t>
  </si>
  <si>
    <t>Web stranica</t>
  </si>
  <si>
    <t>Site web</t>
  </si>
  <si>
    <t>Webサイト</t>
  </si>
  <si>
    <t>Δικτυακός τόπος</t>
  </si>
  <si>
    <t>Website</t>
  </si>
  <si>
    <t>Tīmekļa vietne</t>
  </si>
  <si>
    <t>Strona internetowa</t>
  </si>
  <si>
    <t>Sítio Web</t>
  </si>
  <si>
    <t>Веб-сайт</t>
  </si>
  <si>
    <t>Webová stránka</t>
  </si>
  <si>
    <t>Spletna stran</t>
  </si>
  <si>
    <t>Sitio web</t>
  </si>
  <si>
    <t>Hemsida</t>
  </si>
  <si>
    <t>İnternet sitesi</t>
  </si>
  <si>
    <t>Weboldal</t>
  </si>
  <si>
    <t>Tecnico Commerciale</t>
  </si>
  <si>
    <t>Technický obchodní zástupce</t>
  </si>
  <si>
    <t>技术销售人员</t>
  </si>
  <si>
    <t>Tehnički prodavač</t>
  </si>
  <si>
    <t>Technico-commercial</t>
  </si>
  <si>
    <t>テクニカルセールスマン</t>
  </si>
  <si>
    <t>Τεχνικός πωλητής</t>
  </si>
  <si>
    <t>Technical Salesman</t>
  </si>
  <si>
    <t>Tehniskais pārdevējs</t>
  </si>
  <si>
    <t>Sprzedawca techniczny</t>
  </si>
  <si>
    <t>Técnico Comercial</t>
  </si>
  <si>
    <t>Vânzător tehnic</t>
  </si>
  <si>
    <t>Технический продавец</t>
  </si>
  <si>
    <t>Technický predajca</t>
  </si>
  <si>
    <t>Tehnični prodajalec</t>
  </si>
  <si>
    <t>Teknisk säljare</t>
  </si>
  <si>
    <t>Technischer Verkäufer</t>
  </si>
  <si>
    <t>Teknik Satıcı</t>
  </si>
  <si>
    <t>Műszaki értékesítő</t>
  </si>
  <si>
    <t>Partita IVA</t>
  </si>
  <si>
    <t>DIČ</t>
  </si>
  <si>
    <t>增值税号码</t>
  </si>
  <si>
    <t>PDV broj</t>
  </si>
  <si>
    <t>Numéro de TVA</t>
  </si>
  <si>
    <t>VAT番号</t>
  </si>
  <si>
    <t>Αριθμός ΦΠΑ</t>
  </si>
  <si>
    <t>VAT Number</t>
  </si>
  <si>
    <t>PVN maksātāja numurs</t>
  </si>
  <si>
    <t>Numer VAT</t>
  </si>
  <si>
    <t>Numero Fiscal IVA</t>
  </si>
  <si>
    <t>Număr de TVA</t>
  </si>
  <si>
    <t>Номер НДС</t>
  </si>
  <si>
    <t>Číslo DPH</t>
  </si>
  <si>
    <t>Številka DDV</t>
  </si>
  <si>
    <t>Número de IVA</t>
  </si>
  <si>
    <t>Momsregistreringsnummer</t>
  </si>
  <si>
    <t>MwSt.-Nummer</t>
  </si>
  <si>
    <t>KDV Numarası</t>
  </si>
  <si>
    <t>Adószám</t>
  </si>
  <si>
    <t>Codice IBAN</t>
  </si>
  <si>
    <t>Kód IBAN</t>
  </si>
  <si>
    <t>IBAN代码</t>
  </si>
  <si>
    <t>IBAN BROJ</t>
  </si>
  <si>
    <t>Code IBAN</t>
  </si>
  <si>
    <t>IBANコード</t>
  </si>
  <si>
    <t>Κωδικός IBAN</t>
  </si>
  <si>
    <t>IBAN Code</t>
  </si>
  <si>
    <t>IBAN kods</t>
  </si>
  <si>
    <t>Kod IBAN</t>
  </si>
  <si>
    <t>Código IBAN</t>
  </si>
  <si>
    <t>Cod IBAN</t>
  </si>
  <si>
    <t>IBAN-код</t>
  </si>
  <si>
    <t>Koda IBAN</t>
  </si>
  <si>
    <t>Iban-nummer</t>
  </si>
  <si>
    <t>IBAN</t>
  </si>
  <si>
    <t>IBAN numarası</t>
  </si>
  <si>
    <t>IBAN kód</t>
  </si>
  <si>
    <t>Codice SWIFT</t>
  </si>
  <si>
    <t>Kód SWIFT</t>
  </si>
  <si>
    <t>SWIFT代码</t>
  </si>
  <si>
    <t>SWIFT BROJ</t>
  </si>
  <si>
    <t>Code SWIFT</t>
  </si>
  <si>
    <t>SWIFTコード</t>
  </si>
  <si>
    <t>Κωδικός SWIFT</t>
  </si>
  <si>
    <t>SWIFT Code</t>
  </si>
  <si>
    <t>SWIFT kods</t>
  </si>
  <si>
    <t>Kod SWIFT</t>
  </si>
  <si>
    <t>Código SWIFT</t>
  </si>
  <si>
    <t>Cod SWIFT</t>
  </si>
  <si>
    <t>SWIFT-код</t>
  </si>
  <si>
    <t>Koda SWIFT</t>
  </si>
  <si>
    <t>SWIFT -kod</t>
  </si>
  <si>
    <t>SWIFT-Code</t>
  </si>
  <si>
    <t>Swift kodu</t>
  </si>
  <si>
    <t>SWIFT-kód</t>
  </si>
  <si>
    <t>Indirizzo Fatturazione</t>
  </si>
  <si>
    <t>Fakturační adresa</t>
  </si>
  <si>
    <t>开票地址</t>
  </si>
  <si>
    <t>Adresa za slanje računa</t>
  </si>
  <si>
    <t>Adresse de facturation</t>
  </si>
  <si>
    <t>請求先住所</t>
  </si>
  <si>
    <t>διεύθυνση χρέωσης</t>
  </si>
  <si>
    <t>Billing Address</t>
  </si>
  <si>
    <t>Norēķinu adrese</t>
  </si>
  <si>
    <t>Adres rozliczeniowy</t>
  </si>
  <si>
    <t>Endereço para facturação</t>
  </si>
  <si>
    <t>Adresa de facturare</t>
  </si>
  <si>
    <t>Адрес для выставления счета</t>
  </si>
  <si>
    <t>Fakturačná adresa</t>
  </si>
  <si>
    <t>Obračunski naslov</t>
  </si>
  <si>
    <t>Dirección de facturación</t>
  </si>
  <si>
    <t>Fakturaadress</t>
  </si>
  <si>
    <t>Rechnungsadresse</t>
  </si>
  <si>
    <t>Fatura Adresi</t>
  </si>
  <si>
    <t>Számlázási cím</t>
  </si>
  <si>
    <t>Via</t>
  </si>
  <si>
    <t>Ulice</t>
  </si>
  <si>
    <t>街道</t>
  </si>
  <si>
    <t>Ulica</t>
  </si>
  <si>
    <t>Rue</t>
  </si>
  <si>
    <t>*noi non usiamo</t>
  </si>
  <si>
    <t>Δρόμος</t>
  </si>
  <si>
    <t>Street</t>
  </si>
  <si>
    <t>Iela</t>
  </si>
  <si>
    <t>Rua</t>
  </si>
  <si>
    <t>Strada</t>
  </si>
  <si>
    <t>улица</t>
  </si>
  <si>
    <t>Calle</t>
  </si>
  <si>
    <t>Gata</t>
  </si>
  <si>
    <t>Straße</t>
  </si>
  <si>
    <t>sokak</t>
  </si>
  <si>
    <t>Utca</t>
  </si>
  <si>
    <t>Città</t>
  </si>
  <si>
    <t>Město</t>
  </si>
  <si>
    <t>城市</t>
  </si>
  <si>
    <t>Grad</t>
  </si>
  <si>
    <t>Ville</t>
  </si>
  <si>
    <t>市町村</t>
  </si>
  <si>
    <t>Πόλη</t>
  </si>
  <si>
    <t>City</t>
  </si>
  <si>
    <t>Pilsēta</t>
  </si>
  <si>
    <t>Miasto</t>
  </si>
  <si>
    <t>Cidade</t>
  </si>
  <si>
    <t>Oraș</t>
  </si>
  <si>
    <t>Город</t>
  </si>
  <si>
    <t>Mesto</t>
  </si>
  <si>
    <t>Ciudad</t>
  </si>
  <si>
    <t>Stad</t>
  </si>
  <si>
    <t>Stadt</t>
  </si>
  <si>
    <t>Şehir</t>
  </si>
  <si>
    <t>Város</t>
  </si>
  <si>
    <t>CAP</t>
  </si>
  <si>
    <t>PSČ</t>
  </si>
  <si>
    <t>邮政编码</t>
  </si>
  <si>
    <t>Poštanski broj</t>
  </si>
  <si>
    <t>Code postal</t>
  </si>
  <si>
    <t>郵便番号</t>
  </si>
  <si>
    <t>Ταχυδρομικός κώδικας</t>
  </si>
  <si>
    <t>ZIP Code</t>
  </si>
  <si>
    <t>Pasta indeks</t>
  </si>
  <si>
    <t>Kod pocztowy</t>
  </si>
  <si>
    <t>Código Postal</t>
  </si>
  <si>
    <t>Cod poștal</t>
  </si>
  <si>
    <t>Почтовый индекс</t>
  </si>
  <si>
    <t>Poštna številka</t>
  </si>
  <si>
    <t>Código postal</t>
  </si>
  <si>
    <t>Postnummer</t>
  </si>
  <si>
    <t>Postleitzahl</t>
  </si>
  <si>
    <t>Posta kodu</t>
  </si>
  <si>
    <t>Irányítószám</t>
  </si>
  <si>
    <t>Nazione</t>
  </si>
  <si>
    <t>Země</t>
  </si>
  <si>
    <t>国家</t>
  </si>
  <si>
    <t>Zemlja</t>
  </si>
  <si>
    <t>Pays</t>
  </si>
  <si>
    <t>国</t>
  </si>
  <si>
    <t>Χώρα</t>
  </si>
  <si>
    <t>Country</t>
  </si>
  <si>
    <t>Valsts</t>
  </si>
  <si>
    <t>Kraj</t>
  </si>
  <si>
    <t>País</t>
  </si>
  <si>
    <t>Țara</t>
  </si>
  <si>
    <t>Страна</t>
  </si>
  <si>
    <t>Krajina</t>
  </si>
  <si>
    <t>Država</t>
  </si>
  <si>
    <t>Land</t>
  </si>
  <si>
    <t>Ülke</t>
  </si>
  <si>
    <t>Ország</t>
  </si>
  <si>
    <t>Provincia</t>
  </si>
  <si>
    <t>省份</t>
  </si>
  <si>
    <t>Pokrajina</t>
  </si>
  <si>
    <t>Province</t>
  </si>
  <si>
    <t>都道府県</t>
  </si>
  <si>
    <t>Επαρχία</t>
  </si>
  <si>
    <t>Województwo</t>
  </si>
  <si>
    <t>Distrito</t>
  </si>
  <si>
    <t>Provincie</t>
  </si>
  <si>
    <t>Провинция</t>
  </si>
  <si>
    <t>Provins</t>
  </si>
  <si>
    <t>Bundesland</t>
  </si>
  <si>
    <t>Vilayet</t>
  </si>
  <si>
    <t>Megye</t>
  </si>
  <si>
    <t>Indirizzo per la Spedizione</t>
  </si>
  <si>
    <t>Dodací adresa</t>
  </si>
  <si>
    <t>送货地址</t>
  </si>
  <si>
    <t>Adresa dostave</t>
  </si>
  <si>
    <t>Adresse de livraison</t>
  </si>
  <si>
    <t>配送先住所</t>
  </si>
  <si>
    <t>Διεύθυνση παράδοσης</t>
  </si>
  <si>
    <t>Delivery Address</t>
  </si>
  <si>
    <t>Piegādes adrese</t>
  </si>
  <si>
    <t>Adres dostawy</t>
  </si>
  <si>
    <t>Endereço de entrega</t>
  </si>
  <si>
    <t>Adresa de livrare</t>
  </si>
  <si>
    <t>Адресс доставки</t>
  </si>
  <si>
    <t>Doručovacia adresa</t>
  </si>
  <si>
    <t>Naslov za dostavo</t>
  </si>
  <si>
    <t>Dirección de entrega</t>
  </si>
  <si>
    <t>Leveransadress</t>
  </si>
  <si>
    <t>Lieferadresse</t>
  </si>
  <si>
    <t>Teslimat adresi</t>
  </si>
  <si>
    <t>Szállítási cím</t>
  </si>
  <si>
    <t>Listino Prezzi e Valuta</t>
  </si>
  <si>
    <t>Ceník a měna</t>
  </si>
  <si>
    <t>价格表和货币</t>
  </si>
  <si>
    <t>Cjenik i valuta</t>
  </si>
  <si>
    <t>Liste de prix et devise</t>
  </si>
  <si>
    <t>価格表と通貨</t>
  </si>
  <si>
    <t>Τιμοκατάλογος και Νόμισμα</t>
  </si>
  <si>
    <t>Price List and Currency</t>
  </si>
  <si>
    <t>Cenrādis un valūta</t>
  </si>
  <si>
    <t>Cennik i waluta</t>
  </si>
  <si>
    <t>Lista de Preços e Moeda</t>
  </si>
  <si>
    <t>Lista de prețuri și moneda</t>
  </si>
  <si>
    <t>Прейскурант и валюта</t>
  </si>
  <si>
    <t>Cenník a mena</t>
  </si>
  <si>
    <t>Cenik in valuta</t>
  </si>
  <si>
    <t>Lista de precios y moneda</t>
  </si>
  <si>
    <t>Prislista och valuta</t>
  </si>
  <si>
    <t>Preisliste und Währung</t>
  </si>
  <si>
    <t>Fiyat Listesi ve Para Birimi</t>
  </si>
  <si>
    <t>Árlista és pénznem</t>
  </si>
  <si>
    <t>Fatturato</t>
  </si>
  <si>
    <t>Obrat</t>
  </si>
  <si>
    <t>营业额</t>
  </si>
  <si>
    <t>Promet</t>
  </si>
  <si>
    <t>Chiffre d'affaires</t>
  </si>
  <si>
    <t>売上高</t>
  </si>
  <si>
    <t>Τζίρος</t>
  </si>
  <si>
    <t>Turnover</t>
  </si>
  <si>
    <t>Apgrozījums</t>
  </si>
  <si>
    <t>Obrót</t>
  </si>
  <si>
    <t>Volume de negócios</t>
  </si>
  <si>
    <t>Cifra de afaceri</t>
  </si>
  <si>
    <t>Оборот</t>
  </si>
  <si>
    <t>Facturación</t>
  </si>
  <si>
    <t>Omsättning</t>
  </si>
  <si>
    <t>Umsatz</t>
  </si>
  <si>
    <t>Devir</t>
  </si>
  <si>
    <t>Forgalom</t>
  </si>
  <si>
    <t>LINEA PRODOTTO</t>
  </si>
  <si>
    <t>PRODUKTOVÁ SKUPINA</t>
  </si>
  <si>
    <t>产品系列</t>
  </si>
  <si>
    <t>LINIJA PROIZVODA</t>
  </si>
  <si>
    <t>LIGNE DE PRODUITS</t>
  </si>
  <si>
    <t>生産ライン</t>
  </si>
  <si>
    <t>ΓΡΑΜΜΗ ΠΑΡΑΓΩΓΗΣ</t>
  </si>
  <si>
    <t>PRODUCT LINE</t>
  </si>
  <si>
    <t>PRODUKTA LĪNIJA</t>
  </si>
  <si>
    <t>LINIA PRODUKCYJNA</t>
  </si>
  <si>
    <t>LINHA DE PRODUTOS</t>
  </si>
  <si>
    <t>LINIE DE PRODUSE</t>
  </si>
  <si>
    <t>ЛИНИЯ ПРОДУКЦИИ</t>
  </si>
  <si>
    <t>PRODUKTOVÁ LÍNIA</t>
  </si>
  <si>
    <t>LINIJA IZDELKOV</t>
  </si>
  <si>
    <t>LÍNEA DE PRODUCTOS</t>
  </si>
  <si>
    <t>PRODUKTLINJE</t>
  </si>
  <si>
    <t>PRODUKTLINIE</t>
  </si>
  <si>
    <t>ÜRÜN HATTI</t>
  </si>
  <si>
    <t>TERMÉKCSALÁD</t>
  </si>
  <si>
    <t xml:space="preserve">PUNTI SINGOLI </t>
  </si>
  <si>
    <t xml:space="preserve">JEDNOTLIVÉ KOTVÍCÍ BODY </t>
  </si>
  <si>
    <t>单一锚点</t>
  </si>
  <si>
    <t>SIDRENE TOČKE</t>
  </si>
  <si>
    <t>POINTS D'ANCRAGE UNIQUES</t>
  </si>
  <si>
    <t>シングルアンカーポイント</t>
  </si>
  <si>
    <t>ΜΟΝΑ ΣΗΜΕΙΑ ΑΓΚΥΡΩΣΗΣ</t>
  </si>
  <si>
    <t>SINGLE ANCHOR POINTS</t>
  </si>
  <si>
    <t>ATSEVIŠĶI STIPRINĀJUMA PUNKTI</t>
  </si>
  <si>
    <t>POJEDYNCZE PUNKTY KOTWICZĄCE</t>
  </si>
  <si>
    <t>PONTOS ÚNICOS DE ANCORAGEM</t>
  </si>
  <si>
    <t>PUNCTE DE ANCORARE UNICE</t>
  </si>
  <si>
    <t>ОДИНОЧНЫЕ ТОЧКИ КРЕПЛЕНИЯ</t>
  </si>
  <si>
    <t>JEDNOTLIVÉ KOTVIACE BODY</t>
  </si>
  <si>
    <t>POSAMEZNE SIDRNE TOČKE</t>
  </si>
  <si>
    <t>PUNTOS ÚNICOS</t>
  </si>
  <si>
    <t>ENKELA ANKERPUNKTER</t>
  </si>
  <si>
    <t>Einzelanschlagspunkte</t>
  </si>
  <si>
    <t>TEK ANKRAJ NOKTALARI</t>
  </si>
  <si>
    <t>EGYÉNI KIKÖTÉSI PONTOK</t>
  </si>
  <si>
    <t>LINEE VITA</t>
  </si>
  <si>
    <t>LANKOVÝ SYSTÉM</t>
  </si>
  <si>
    <t>生命线</t>
  </si>
  <si>
    <t>ŽIVOTNE LINIJE</t>
  </si>
  <si>
    <t>LIGNES DE VIE</t>
  </si>
  <si>
    <t>ライフライン</t>
  </si>
  <si>
    <t>ΓΡΑΜΜΕΣ ΖΩΗΣ</t>
  </si>
  <si>
    <t>LIFE LINES</t>
  </si>
  <si>
    <t>Drošības LĪNIJAS</t>
  </si>
  <si>
    <t>LINIE ŻYCIA</t>
  </si>
  <si>
    <t>LINHAS DE VIDA</t>
  </si>
  <si>
    <t>LINII DE VIAȚĂ</t>
  </si>
  <si>
    <t>ЛИНИИ ЖИЗНИ</t>
  </si>
  <si>
    <t>ŽIVOTNÉ LÍNIE</t>
  </si>
  <si>
    <t>ŽIVLJENJSKE LINIJE</t>
  </si>
  <si>
    <t>LÍNEAS DE VIDA</t>
  </si>
  <si>
    <t>LIVSLINJER</t>
  </si>
  <si>
    <t>LEBENSLINIEN</t>
  </si>
  <si>
    <t>YAŞAM HATLARI</t>
  </si>
  <si>
    <t>KÁBELES RENDSZEREK</t>
  </si>
  <si>
    <t>SUPPORTI</t>
  </si>
  <si>
    <t>NOSIČE</t>
  </si>
  <si>
    <t>支撑物</t>
  </si>
  <si>
    <t>PODRŠKE</t>
  </si>
  <si>
    <t>ΥΠΟΣΤΗΡΙΓΜΑΤΑ</t>
  </si>
  <si>
    <t>ATBALSTI</t>
  </si>
  <si>
    <t>PODPORY</t>
  </si>
  <si>
    <t>APOIOS</t>
  </si>
  <si>
    <t>SUPORTURI</t>
  </si>
  <si>
    <t>ПОДДЕРЖКИ</t>
  </si>
  <si>
    <t>PODPORE</t>
  </si>
  <si>
    <t>SOPORTES</t>
  </si>
  <si>
    <t>Grundplatten, Aufnahmen</t>
  </si>
  <si>
    <t>DESTEKLER</t>
  </si>
  <si>
    <t>TARTÓELEMEK</t>
  </si>
  <si>
    <t>COMPONENTI LINEE VITA</t>
  </si>
  <si>
    <t>KOMPONENTY LANKOVÉHO SYSTÉMU</t>
  </si>
  <si>
    <t>生命线组件</t>
  </si>
  <si>
    <t>KOMPONENTE ŽIVOTNIH LINIJA</t>
  </si>
  <si>
    <t>COMPOSANTS LIFE LINES</t>
  </si>
  <si>
    <t>ライフラインコンポーネント</t>
  </si>
  <si>
    <t>ΕΞΑΡΤΗΜΑΤΑ ΓΡΑΜΜΩΝ ΖΩΗΣ</t>
  </si>
  <si>
    <t>LIFE LINES COMPONENTS</t>
  </si>
  <si>
    <t>GLĀBŠANAS LĪNIJU KOMPONENTI</t>
  </si>
  <si>
    <t>KOMPONENTY LINII ŻYCIA</t>
  </si>
  <si>
    <t>COMPONENTES DAS LINHAS DE VIDA</t>
  </si>
  <si>
    <t>COMPONENTE PENTRU LINIILE DE VIAȚĂ</t>
  </si>
  <si>
    <t>КОМПОНЕНТЫ ЛИНИИ ЖИЗНИ</t>
  </si>
  <si>
    <t>KOMPONENTY ZÁCHRANNÝCH LÍNIÍ</t>
  </si>
  <si>
    <t>SESTAVNI DELI LINIJ LIFE LINE</t>
  </si>
  <si>
    <t>COMPONENTES DE LÍNEAS DE VIDA</t>
  </si>
  <si>
    <t>LIFE LINES KOMPONENTER</t>
  </si>
  <si>
    <t>Komponenten Lebenslinien</t>
  </si>
  <si>
    <t>YAŞAM HATLARI BİLEŞENLERİ</t>
  </si>
  <si>
    <t>RENDSZERELEMEK</t>
  </si>
  <si>
    <t>ANTICADUTA</t>
  </si>
  <si>
    <t>OCHRANA PROTI PÁDU</t>
  </si>
  <si>
    <t>坠落保护</t>
  </si>
  <si>
    <t>ZAŠTITA OD PADA</t>
  </si>
  <si>
    <t>PROTECTION CONTRE LES CHUTES</t>
  </si>
  <si>
    <t>墜落防止</t>
  </si>
  <si>
    <t>ΠΡΟΣΤΑΣΙΑ ΑΠΌ ΠΤΩΣΗ</t>
  </si>
  <si>
    <t>FALL PROTECTION</t>
  </si>
  <si>
    <t>AIZSARDZĪBA PRET KRITIENIEM</t>
  </si>
  <si>
    <t>OCHRONA PRZED UPADKIEM</t>
  </si>
  <si>
    <t>PROTECÇÃO ANTI-QUEDA</t>
  </si>
  <si>
    <t>PROTECȚIE ÎMPOTRIVA CĂDERILOR</t>
  </si>
  <si>
    <t>ЗАЩИТА ОТ ПАДЕНИЯ</t>
  </si>
  <si>
    <t>ZAŠČITA PRED PADCEM</t>
  </si>
  <si>
    <t>PROTECCIÓN ANTICAÍDAS</t>
  </si>
  <si>
    <t>FALLSKYDD</t>
  </si>
  <si>
    <t>Absturzsicherung</t>
  </si>
  <si>
    <t>DÜŞME TEHLİKESİNE KARŞİ KORUMA</t>
  </si>
  <si>
    <t>LEESÉS ELLENI VÉDELEM</t>
  </si>
  <si>
    <t>PROTEZIONI COLLETTIVE</t>
  </si>
  <si>
    <t>KOLEKTIVNÍ OCHRANA</t>
  </si>
  <si>
    <t>集体防护</t>
  </si>
  <si>
    <t>grupna ZAŠTITA</t>
  </si>
  <si>
    <t>PROTECTION COLLECTIVE</t>
  </si>
  <si>
    <t>共同保護具</t>
  </si>
  <si>
    <t>ΣΥΛΛΟΓΙΚΗ ΠΡΟΣΤΑΣΙΑ</t>
  </si>
  <si>
    <t>COLLECTIVE PROTECTION</t>
  </si>
  <si>
    <t>KOLEKTĪVĀ AIZSARDZĪBA</t>
  </si>
  <si>
    <t>OCHRONA ZBIOROWA</t>
  </si>
  <si>
    <t>PROTECÇÃO COLECTIVA</t>
  </si>
  <si>
    <t>PROTECȚIE COLECTIVĂ</t>
  </si>
  <si>
    <t>КОЛЛЕКТИВНАЯ ЗАЩИТА</t>
  </si>
  <si>
    <t>KOLEKTÍVNA OCHRANA</t>
  </si>
  <si>
    <t>KOLEKTIVNA ZAŠČITA</t>
  </si>
  <si>
    <t>PROTECCIÓN COLECTIVA</t>
  </si>
  <si>
    <t>KOLLEKTIVT SKYDD</t>
  </si>
  <si>
    <t>Kollektivschutz</t>
  </si>
  <si>
    <t>TOPLU KORUMA</t>
  </si>
  <si>
    <t>KOLLEKTÍV VÉDELEM</t>
  </si>
  <si>
    <t>DPI - DISPOSITIVI DI PROTEZIONE INDIVIDUALE</t>
  </si>
  <si>
    <t>OSOBNÍ OCHRANNÉ PROSTŘEDKY</t>
  </si>
  <si>
    <t>PPE - 个人防护设备</t>
  </si>
  <si>
    <t>OZO - OSOBNA ZAŠTITNA OPREMA</t>
  </si>
  <si>
    <t>PPE - ÉQUIPEMENT DE PROTECTION INDIVIDUELLE</t>
  </si>
  <si>
    <t>PPE-個人用保護具</t>
  </si>
  <si>
    <t>ΜΑΠ - ΕΞΟΠΛΙΣΜΟΣ ΠΡΟΣΩΠΙΚΗΣ ΠΡΟΣΤΑΣΙΑΣ</t>
  </si>
  <si>
    <t>PPE - PERSONAL PROTECTION EQUIPMENT</t>
  </si>
  <si>
    <t>PPE - INDIVIDUĀLIE AIZSARDZĪBAS LĪDZEKĻI</t>
  </si>
  <si>
    <t>ŚOI - ŚRODKI OCHRONY OSOBISTEJ</t>
  </si>
  <si>
    <t>EPI - EQUIPAMENTO DE PROTECÇÃO INDIVIDUAL</t>
  </si>
  <si>
    <t>PPE - ECHIPAMENT DE PROTECȚIE PERSONALĂ</t>
  </si>
  <si>
    <t>СИЗ - СРЕДСТВА ИНДИВИДУАЛЬНОЙ ЗАЩИТЫ</t>
  </si>
  <si>
    <t>PPE - OSOBNÉ OCHRANNÉ PROSTRIEDKY</t>
  </si>
  <si>
    <t>PPE - OSEBNA ZAŠČITNA OPREMA</t>
  </si>
  <si>
    <t>PPE - EQUIPO DE PROTECCIÓN PERSONAL</t>
  </si>
  <si>
    <t>PPE - PERSONLIGT SKYDDSUTRUSTNING</t>
  </si>
  <si>
    <t>PSA - PERSÖNLICHE SCHUTZAUSRÜSTUNG</t>
  </si>
  <si>
    <t>KKD - KİŞİSEL KORUMA EKİPMANI</t>
  </si>
  <si>
    <t>PPE - EGYÉNI VÉDŐFELSZERELÉS</t>
  </si>
  <si>
    <t>ALTRE LINEE VITA</t>
  </si>
  <si>
    <t>DALŠÍ LANKOVÉ ZÁCHYTNÉ SYSTÉMY</t>
  </si>
  <si>
    <t>其他生命线</t>
  </si>
  <si>
    <t>OSTALE ŽIVOTNE LINIJE</t>
  </si>
  <si>
    <t>AUTRES LIGNES DE VIE</t>
  </si>
  <si>
    <t>その他のライフライン</t>
  </si>
  <si>
    <t>ΑΛΛΕΣ ΓΡΑΜΜΕΣ ΖΩΗΣ</t>
  </si>
  <si>
    <t>OTHER LIFE LINES</t>
  </si>
  <si>
    <t>CITAS GLĀBŠANAS LĪNIJAS</t>
  </si>
  <si>
    <t>INNE LINIE ŻYCIA</t>
  </si>
  <si>
    <t>OUTRAS LINHAS DE VIDA</t>
  </si>
  <si>
    <t>ALTE LINII DE VIAȚĂ</t>
  </si>
  <si>
    <t>ДРУГИЕ ЛИНИИ ЖИЗНИ</t>
  </si>
  <si>
    <t>INÉ ZÁCHRANNÉ LANÁ</t>
  </si>
  <si>
    <t>DRUGE ŽIVLJENJSKE LINIJE</t>
  </si>
  <si>
    <t>OTRAS LÍNEAS DE VIDA</t>
  </si>
  <si>
    <t>ANDRA LIVSLINJER</t>
  </si>
  <si>
    <t>andere Lebenslinien</t>
  </si>
  <si>
    <t>DİĞER YAŞAM HATLARI</t>
  </si>
  <si>
    <t>EGYÉB RENDSZEREK</t>
  </si>
  <si>
    <t>CAVO IN ACCIAIO</t>
  </si>
  <si>
    <t>OCELOVÝ KABEL</t>
  </si>
  <si>
    <t>钢丝</t>
  </si>
  <si>
    <t>ČELIČNA ŽICA</t>
  </si>
  <si>
    <t>FIL D'ACIER</t>
  </si>
  <si>
    <t>スティールワイヤ</t>
  </si>
  <si>
    <t>ΑΤΣΑΛΙΝΟ ΣΥΡΜΑ</t>
  </si>
  <si>
    <t>STEEL WIRE</t>
  </si>
  <si>
    <t>TĒRAUDA troses</t>
  </si>
  <si>
    <t>STALOWY DRUT</t>
  </si>
  <si>
    <t>CABO DE AÇO</t>
  </si>
  <si>
    <t>CABLU DE OȚEL</t>
  </si>
  <si>
    <t>СТАЛЬНАЯ ПРОВОЛОКА</t>
  </si>
  <si>
    <t>OCEĽOVÉ DRÔTY</t>
  </si>
  <si>
    <t>JEKLENI VODNIKI</t>
  </si>
  <si>
    <t>ALAMBRE DE ACERO</t>
  </si>
  <si>
    <t>STÅLTRÅD</t>
  </si>
  <si>
    <t>Stahlseil</t>
  </si>
  <si>
    <t>ÇELİK TEL</t>
  </si>
  <si>
    <t>ACÉLHUZAL</t>
  </si>
  <si>
    <t>Tasso di cambio:</t>
  </si>
  <si>
    <t>Směnný kurz:</t>
  </si>
  <si>
    <t>汇率：</t>
  </si>
  <si>
    <t>Tečajna lista:</t>
  </si>
  <si>
    <t>Taux de change :</t>
  </si>
  <si>
    <t>為替レート：</t>
  </si>
  <si>
    <t>Συναλλαγματική ισοτιμία:</t>
  </si>
  <si>
    <t>Exchange Rate:</t>
  </si>
  <si>
    <t>Valūtas maiņas kurss:</t>
  </si>
  <si>
    <t>Kurs wymiany:</t>
  </si>
  <si>
    <t>Taxa de Câmbio:</t>
  </si>
  <si>
    <t>Curs de schimb:</t>
  </si>
  <si>
    <t>Курс обмена:</t>
  </si>
  <si>
    <t>Výmenný kurz:</t>
  </si>
  <si>
    <t>Menjalni tečaj:</t>
  </si>
  <si>
    <t>Tipo de cambio:</t>
  </si>
  <si>
    <t>Växlingskurs:</t>
  </si>
  <si>
    <t>Umrechnungskurs:</t>
  </si>
  <si>
    <t>Döviz kuru:</t>
  </si>
  <si>
    <t>Árfolyam:</t>
  </si>
  <si>
    <t xml:space="preserve">Pagamento </t>
  </si>
  <si>
    <t xml:space="preserve">Platba </t>
  </si>
  <si>
    <t>付款方式</t>
  </si>
  <si>
    <t>Plaćanje</t>
  </si>
  <si>
    <t>Paiement</t>
  </si>
  <si>
    <t>支払い</t>
  </si>
  <si>
    <t>Πληρωμή</t>
  </si>
  <si>
    <t>Payment</t>
  </si>
  <si>
    <t>Maksājums</t>
  </si>
  <si>
    <t>Zapłata</t>
  </si>
  <si>
    <t>Pagamento</t>
  </si>
  <si>
    <t>Plata</t>
  </si>
  <si>
    <t>Оплата</t>
  </si>
  <si>
    <t>Platba</t>
  </si>
  <si>
    <t>Plačilo</t>
  </si>
  <si>
    <t>Pago</t>
  </si>
  <si>
    <t>Betalning</t>
  </si>
  <si>
    <t>Zahlung</t>
  </si>
  <si>
    <t>Ödeme</t>
  </si>
  <si>
    <t>Fizetési feltételek</t>
  </si>
  <si>
    <t>ORDINE</t>
  </si>
  <si>
    <t>OBJEDNÁVKA</t>
  </si>
  <si>
    <t>订单</t>
  </si>
  <si>
    <t>NARUDŽBA</t>
  </si>
  <si>
    <t>COMMANDE</t>
  </si>
  <si>
    <t>注文</t>
  </si>
  <si>
    <t>ΠΑΡΑΓΓΕΛΙΑ</t>
  </si>
  <si>
    <t>ORDER</t>
  </si>
  <si>
    <t>PASŪTĪjums</t>
  </si>
  <si>
    <t>ZAMÓWIENIE</t>
  </si>
  <si>
    <t>ENCOMENDA</t>
  </si>
  <si>
    <t>COMANDĂ</t>
  </si>
  <si>
    <t>ПРИКАЗ</t>
  </si>
  <si>
    <t>NAROČILO</t>
  </si>
  <si>
    <t>PEDIDO</t>
  </si>
  <si>
    <t>BESTÄLLA</t>
  </si>
  <si>
    <t>BESTELLUNG</t>
  </si>
  <si>
    <t>EMİR</t>
  </si>
  <si>
    <t>MEGRENDELÉS</t>
  </si>
  <si>
    <t>Rif.</t>
  </si>
  <si>
    <t>Ref.</t>
  </si>
  <si>
    <t>参考资料</t>
  </si>
  <si>
    <t>Réf.</t>
  </si>
  <si>
    <t>参照</t>
  </si>
  <si>
    <t>Αναφ.</t>
  </si>
  <si>
    <t>Nr ref.</t>
  </si>
  <si>
    <t>Ссылка</t>
  </si>
  <si>
    <t>Referans</t>
  </si>
  <si>
    <t>Data</t>
  </si>
  <si>
    <t>Datum</t>
  </si>
  <si>
    <t>日期</t>
  </si>
  <si>
    <t>Date</t>
  </si>
  <si>
    <t>日にち</t>
  </si>
  <si>
    <t>Ημερομηνία</t>
  </si>
  <si>
    <t>Datums</t>
  </si>
  <si>
    <t>Дата</t>
  </si>
  <si>
    <t>Dátum</t>
  </si>
  <si>
    <t>Fecha</t>
  </si>
  <si>
    <t>Tarih</t>
  </si>
  <si>
    <t>Cellulare</t>
  </si>
  <si>
    <t>Mobilní tel.:</t>
  </si>
  <si>
    <t>手机</t>
  </si>
  <si>
    <t>MoBILNI</t>
  </si>
  <si>
    <t>Mobile</t>
  </si>
  <si>
    <t>携帯電話</t>
  </si>
  <si>
    <t>Κινητό</t>
  </si>
  <si>
    <t>Mobilais</t>
  </si>
  <si>
    <t>mobilny</t>
  </si>
  <si>
    <t>Telemovél</t>
  </si>
  <si>
    <t>Mobil</t>
  </si>
  <si>
    <t>Мобильный</t>
  </si>
  <si>
    <t>Mobilný telefón</t>
  </si>
  <si>
    <t>Mobilni telefon</t>
  </si>
  <si>
    <t>Móvil</t>
  </si>
  <si>
    <t>Persona di riferimento</t>
  </si>
  <si>
    <t>Kontaktní osoba</t>
  </si>
  <si>
    <t>推荐人</t>
  </si>
  <si>
    <t>Referentna osoba</t>
  </si>
  <si>
    <t>Personne de référence</t>
  </si>
  <si>
    <t>担当者</t>
  </si>
  <si>
    <t>Πρόσωπο αναφοράς</t>
  </si>
  <si>
    <t>Reference person</t>
  </si>
  <si>
    <t>Atsauces persona</t>
  </si>
  <si>
    <t>Osoba referencyjna</t>
  </si>
  <si>
    <t>Pessoa de referência</t>
  </si>
  <si>
    <t>Persoana de referință</t>
  </si>
  <si>
    <t>Референтное лицо</t>
  </si>
  <si>
    <t>Referenčná osoba</t>
  </si>
  <si>
    <t>Referenčna oseba</t>
  </si>
  <si>
    <t>Persona de referencia</t>
  </si>
  <si>
    <t>Referens person</t>
  </si>
  <si>
    <t>Bezugsperson</t>
  </si>
  <si>
    <t>Aracı kişi</t>
  </si>
  <si>
    <t>Kapcsolattartó</t>
  </si>
  <si>
    <t>Linea</t>
  </si>
  <si>
    <t>Řádek</t>
  </si>
  <si>
    <t>线路</t>
  </si>
  <si>
    <t>Crta</t>
  </si>
  <si>
    <t>Ligne</t>
  </si>
  <si>
    <t>ライン</t>
  </si>
  <si>
    <t>Γραμμή</t>
  </si>
  <si>
    <t>Line</t>
  </si>
  <si>
    <t>Līnija</t>
  </si>
  <si>
    <t>Linia</t>
  </si>
  <si>
    <t>Linha</t>
  </si>
  <si>
    <t>Линия</t>
  </si>
  <si>
    <t>Linka</t>
  </si>
  <si>
    <t>Linija</t>
  </si>
  <si>
    <t>Línea</t>
  </si>
  <si>
    <t>Linje</t>
  </si>
  <si>
    <t>Zeile</t>
  </si>
  <si>
    <t>Hat</t>
  </si>
  <si>
    <t>Vonal</t>
  </si>
  <si>
    <t>Qt.</t>
  </si>
  <si>
    <t>Množství</t>
  </si>
  <si>
    <t>季度</t>
  </si>
  <si>
    <t>Qt</t>
  </si>
  <si>
    <t>ΠΟΣΟΤΗΤΑ</t>
  </si>
  <si>
    <t>Skaits</t>
  </si>
  <si>
    <t>Ilość</t>
  </si>
  <si>
    <t>кв.</t>
  </si>
  <si>
    <t>Anz.</t>
  </si>
  <si>
    <t>Subtotale</t>
  </si>
  <si>
    <t>Mezisoučet</t>
  </si>
  <si>
    <t>小计</t>
  </si>
  <si>
    <t>SubTotal</t>
  </si>
  <si>
    <t>Sous-total</t>
  </si>
  <si>
    <t>小計</t>
  </si>
  <si>
    <t>ΜΕΡΙΚΟ ΣΥΝΟΛΟ</t>
  </si>
  <si>
    <t>Suma częściowa</t>
  </si>
  <si>
    <t>Промежуточный итог</t>
  </si>
  <si>
    <t>Delsumma</t>
  </si>
  <si>
    <t>Zwischensumme</t>
  </si>
  <si>
    <t>Ara toplam</t>
  </si>
  <si>
    <t>Peso</t>
  </si>
  <si>
    <t>Hmotnost</t>
  </si>
  <si>
    <t>重量</t>
  </si>
  <si>
    <t>Težina</t>
  </si>
  <si>
    <t>Poids</t>
  </si>
  <si>
    <t>Βάρος</t>
  </si>
  <si>
    <t>Weight</t>
  </si>
  <si>
    <t>Svars</t>
  </si>
  <si>
    <t>Waga</t>
  </si>
  <si>
    <t>Greutate</t>
  </si>
  <si>
    <t>Масса</t>
  </si>
  <si>
    <t>Hmotnosť</t>
  </si>
  <si>
    <t>Teža</t>
  </si>
  <si>
    <t>Vikt</t>
  </si>
  <si>
    <t>Gewicht</t>
  </si>
  <si>
    <t>Ağırlık</t>
  </si>
  <si>
    <t>Súly</t>
  </si>
  <si>
    <t>Note</t>
  </si>
  <si>
    <t>Poznámky</t>
  </si>
  <si>
    <t>备注</t>
  </si>
  <si>
    <t>Bilješke</t>
  </si>
  <si>
    <t>Notes</t>
  </si>
  <si>
    <t>注記</t>
  </si>
  <si>
    <t>Σημειώσεις</t>
  </si>
  <si>
    <t>Piezīmes</t>
  </si>
  <si>
    <t>Uwagi</t>
  </si>
  <si>
    <t>Notas</t>
  </si>
  <si>
    <t>Примечания</t>
  </si>
  <si>
    <t>Opombe</t>
  </si>
  <si>
    <t>Anteckningar</t>
  </si>
  <si>
    <t>Anmerkungen</t>
  </si>
  <si>
    <t>Notlar</t>
  </si>
  <si>
    <t>Megjegyzések</t>
  </si>
  <si>
    <t>Cliente</t>
  </si>
  <si>
    <t>Zákazník</t>
  </si>
  <si>
    <t>客户</t>
  </si>
  <si>
    <t>Klijent</t>
  </si>
  <si>
    <t>Client</t>
  </si>
  <si>
    <t>顧客</t>
  </si>
  <si>
    <t>Πελάτης</t>
  </si>
  <si>
    <t>Klients</t>
  </si>
  <si>
    <t>Klient</t>
  </si>
  <si>
    <t>Клиент</t>
  </si>
  <si>
    <t>Stranka</t>
  </si>
  <si>
    <t>Kunde</t>
  </si>
  <si>
    <t>Müşteri</t>
  </si>
  <si>
    <t>Ügyfél</t>
  </si>
  <si>
    <t>RETI DI SICUREZZA</t>
  </si>
  <si>
    <t>BEZPEČNOSTNÍ SÍTĚ</t>
  </si>
  <si>
    <t>安全网</t>
  </si>
  <si>
    <t>SIGURNOSNE MREŽE</t>
  </si>
  <si>
    <t>FILETS DE SECURITE</t>
  </si>
  <si>
    <t>セーフティネット</t>
  </si>
  <si>
    <t>ΔΙΚΤΥΑ ΑΣΦΑΛΕΙΑΣ</t>
  </si>
  <si>
    <t>SAFETY NETS</t>
  </si>
  <si>
    <t>DROŠĪBAS TĪKLI</t>
  </si>
  <si>
    <t>SIATKI BEZPIECZEŃSTWA</t>
  </si>
  <si>
    <t>REDES DE SEGURANÇA</t>
  </si>
  <si>
    <t>PLASE DE SIGURANȚĂ</t>
  </si>
  <si>
    <t>ЗАЩИТНЫЕ СЕТКИ</t>
  </si>
  <si>
    <t>BEZPEČNOSTNÉ SIETE</t>
  </si>
  <si>
    <t>VARNOSTNE MREŽE</t>
  </si>
  <si>
    <t>REDES DE SEGURIDAD</t>
  </si>
  <si>
    <t>SÄKERHETSNÄT</t>
  </si>
  <si>
    <t>SICHERHEITSNETZE</t>
  </si>
  <si>
    <t>GÜVENLİK AĞLARI</t>
  </si>
  <si>
    <t>BIZTONSÁGI HÁLÓ</t>
  </si>
  <si>
    <t>PARAPETTI</t>
  </si>
  <si>
    <t>栏杆防护装置</t>
  </si>
  <si>
    <t>ŠTITNICE ZA OGRADE</t>
  </si>
  <si>
    <t>RAILINGS</t>
  </si>
  <si>
    <t>手すりガード</t>
  </si>
  <si>
    <t>ΠΑΡΑΠΕΤΙΑ</t>
  </si>
  <si>
    <t>RAILING GUARDS</t>
  </si>
  <si>
    <t>MARGU AIZSARGI</t>
  </si>
  <si>
    <t>BALUSTRADY</t>
  </si>
  <si>
    <t>PARAPEITOS</t>
  </si>
  <si>
    <t>GĂRZILE DE PROTECȚIE A BALUSTRADELOR</t>
  </si>
  <si>
    <t>ЗАЩИТА ПЕРИЛ</t>
  </si>
  <si>
    <t>OCHRANNÉ ZÁBRADLIA</t>
  </si>
  <si>
    <t>VAROVALA ZA OGRAJE</t>
  </si>
  <si>
    <t>BARANDILLAS</t>
  </si>
  <si>
    <t>RÄNGSKYDD</t>
  </si>
  <si>
    <t>GELÄNDER</t>
  </si>
  <si>
    <t>KORKULUK KORUMALARI</t>
  </si>
  <si>
    <t>BIZTONSÁGI KORLÁT</t>
  </si>
  <si>
    <t>GANCI SCALE</t>
  </si>
  <si>
    <t>HÁKY NA ŽEBŘÍKY</t>
  </si>
  <si>
    <t>梯子吊钩</t>
  </si>
  <si>
    <t>KUKE za ljestve</t>
  </si>
  <si>
    <t>CROCHETS D'ÉCHELLE</t>
  </si>
  <si>
    <t>梯子フック</t>
  </si>
  <si>
    <t>ΑΓΚΥΣΤΡΑ ΓΙΑ ΣΚΑΛΕΣ</t>
  </si>
  <si>
    <t>LADDERS HOOKS</t>
  </si>
  <si>
    <t>Kāpņu āķi</t>
  </si>
  <si>
    <t>GANCHO PARA ESCADAS</t>
  </si>
  <si>
    <t>CÂRLIGE DE CĂRUCIOR</t>
  </si>
  <si>
    <t>КРЮЧКИ ДЛЯ ЛЕСТНИЦ</t>
  </si>
  <si>
    <t>HÁČKY NA VODIDLÁ</t>
  </si>
  <si>
    <t>KLJUKE ZA VODILA</t>
  </si>
  <si>
    <t>GANCHOS DE ESCALA</t>
  </si>
  <si>
    <t>MERDİVEN KANCALARI</t>
  </si>
  <si>
    <t>CASCHI</t>
  </si>
  <si>
    <t>PŘILBY</t>
  </si>
  <si>
    <t>安全帽</t>
  </si>
  <si>
    <t>kacige</t>
  </si>
  <si>
    <t>HELMETS</t>
  </si>
  <si>
    <t>ヘルメット</t>
  </si>
  <si>
    <t>ΚΡΑΝΗ</t>
  </si>
  <si>
    <t>Ķiveres</t>
  </si>
  <si>
    <t>KASKI</t>
  </si>
  <si>
    <t>CAPACETES</t>
  </si>
  <si>
    <t>CĂȘTI DE PROTECȚIE</t>
  </si>
  <si>
    <t>ШЛЕМЫ</t>
  </si>
  <si>
    <t>PRILBY</t>
  </si>
  <si>
    <t>PRIPOROČNIKI</t>
  </si>
  <si>
    <t>CASCOS</t>
  </si>
  <si>
    <t>HJÄLMAR</t>
  </si>
  <si>
    <t>Helme</t>
  </si>
  <si>
    <t>KASKLAR</t>
  </si>
  <si>
    <t>SISAKOK</t>
  </si>
  <si>
    <t>IMBRACHI</t>
  </si>
  <si>
    <t>ZACHYCOVACÍ POSTROJE</t>
  </si>
  <si>
    <t>绳索</t>
  </si>
  <si>
    <t>pojasevi</t>
  </si>
  <si>
    <t>EMBALLAGE</t>
  </si>
  <si>
    <t>ハーネス</t>
  </si>
  <si>
    <t>ΖΩΝΕΣ</t>
  </si>
  <si>
    <t>HARNESSES</t>
  </si>
  <si>
    <t>Drošības sistēmas</t>
  </si>
  <si>
    <t>SZELKI</t>
  </si>
  <si>
    <t>ARNÊSES</t>
  </si>
  <si>
    <t>ЖГУТЫ</t>
  </si>
  <si>
    <t>ZÁVESY</t>
  </si>
  <si>
    <t>EMBALAJE</t>
  </si>
  <si>
    <t>HARNESS</t>
  </si>
  <si>
    <t>Gurte</t>
  </si>
  <si>
    <t>KOŞUMLAR</t>
  </si>
  <si>
    <t>HEVEDEREK</t>
  </si>
  <si>
    <t>CORDINI</t>
  </si>
  <si>
    <t>LANKOVÉ SYSTÉMY</t>
  </si>
  <si>
    <t>DVORIŠTA</t>
  </si>
  <si>
    <t>ランヤード</t>
  </si>
  <si>
    <t>ΣΧΟΙΝΙΑ</t>
  </si>
  <si>
    <t>LANYARDS</t>
  </si>
  <si>
    <t>Drošības striķi</t>
  </si>
  <si>
    <t>SMYCZE</t>
  </si>
  <si>
    <t>CORDAS POSICIONAMENTO</t>
  </si>
  <si>
    <t>СТРЕПКИ</t>
  </si>
  <si>
    <t>CORDONES</t>
  </si>
  <si>
    <t>Seile</t>
  </si>
  <si>
    <t>LANYARLAR</t>
  </si>
  <si>
    <t>BIZTONSÁGI KÖTELEK</t>
  </si>
  <si>
    <t>DISCENSORI</t>
  </si>
  <si>
    <t>SLAŇOVACÍ BRZDA</t>
  </si>
  <si>
    <t>感应器</t>
  </si>
  <si>
    <t>UREĐAJI ZA SPUŠTANJE</t>
  </si>
  <si>
    <t>DISCENSEURS</t>
  </si>
  <si>
    <t>下降器</t>
  </si>
  <si>
    <t>ΔΙΑΧΩΡΙΣΤΕΣ</t>
  </si>
  <si>
    <t>DISCENSORS</t>
  </si>
  <si>
    <t>Nolaidēji</t>
  </si>
  <si>
    <t>DYSKENSORY</t>
  </si>
  <si>
    <t>DESCENSORES</t>
  </si>
  <si>
    <t>ДИССЕНСОРЫ</t>
  </si>
  <si>
    <t>DISCENZORY</t>
  </si>
  <si>
    <t>DISCENZORJI</t>
  </si>
  <si>
    <t>DESCENDEDORES</t>
  </si>
  <si>
    <t>DISCENSORER</t>
  </si>
  <si>
    <t>Abseilgeräte</t>
  </si>
  <si>
    <t>DİSKENSÖRLER</t>
  </si>
  <si>
    <t>ERESZKEDŐK</t>
  </si>
  <si>
    <t>RETRATTILI</t>
  </si>
  <si>
    <t>ZATAHOVACÍ ZÁCHYTNÉ ZAŘÍZENÍ</t>
  </si>
  <si>
    <t>伸缩装置</t>
  </si>
  <si>
    <t>UREĐAJI NA uvlačenje</t>
  </si>
  <si>
    <t>RETRACTORS</t>
  </si>
  <si>
    <t>リトラクタブルデバイス</t>
  </si>
  <si>
    <t>ΣΥΣΚΕΥΕΣ ΑΝΑΚΤΗΣΗΣ</t>
  </si>
  <si>
    <t>RETRACTABLE DEVICES</t>
  </si>
  <si>
    <t>IEVELKAMAS IERĪCES</t>
  </si>
  <si>
    <t>WYSUWANE URZĄDZENIA</t>
  </si>
  <si>
    <t>DISPOSITIVOS RETRÁCTEIS</t>
  </si>
  <si>
    <t>DISPOZITIVE RETRACTABILE</t>
  </si>
  <si>
    <t>ВЫДВИЖНЫЕ УСТРОЙСТВА</t>
  </si>
  <si>
    <t>VÝSUVNÉ ZARIADENIA</t>
  </si>
  <si>
    <t>IZVLEČNE NAPRAVE</t>
  </si>
  <si>
    <t>RETRÁCTILES</t>
  </si>
  <si>
    <t>UTKASTBARA ENHETER</t>
  </si>
  <si>
    <t>Höhensicherungsgerät</t>
  </si>
  <si>
    <t>ÇEKİLEBİLİR CİHAZLAR</t>
  </si>
  <si>
    <t>BEHÚZHATÓ ESZKÖZÖK</t>
  </si>
  <si>
    <t>POSIZIONAMENTO</t>
  </si>
  <si>
    <t>POZICIOVÁNÍ</t>
  </si>
  <si>
    <t>定位</t>
  </si>
  <si>
    <t>POLOŽAJ</t>
  </si>
  <si>
    <t>POSITIONNEMENT</t>
  </si>
  <si>
    <t>ポジショニング</t>
  </si>
  <si>
    <t>ΣΤΑΘΕΡΟΠΟΙΗΣΗ</t>
  </si>
  <si>
    <t>POSITIONING</t>
  </si>
  <si>
    <t>POZICIONĒŠANA</t>
  </si>
  <si>
    <t>POZYCJONOWANIE</t>
  </si>
  <si>
    <t>POSICIONAMENTO</t>
  </si>
  <si>
    <t>POZIȚIONARE</t>
  </si>
  <si>
    <t>ПОЗИЦИОНИРОВАНИЕ</t>
  </si>
  <si>
    <t>POLOHOVANIE</t>
  </si>
  <si>
    <t>POSICIONAMIENTO</t>
  </si>
  <si>
    <t>POSITIONERING</t>
  </si>
  <si>
    <t>POSITIONIERUNG</t>
  </si>
  <si>
    <t>KONUMLANDIRMA</t>
  </si>
  <si>
    <t>POZÍCIONÁLÁS</t>
  </si>
  <si>
    <t>ANCORANTI</t>
  </si>
  <si>
    <t>KOTVY</t>
  </si>
  <si>
    <t>锚固装置</t>
  </si>
  <si>
    <t>SIDRA</t>
  </si>
  <si>
    <t>ANCERS</t>
  </si>
  <si>
    <t>アンカー</t>
  </si>
  <si>
    <t>ΑΓΚΥΡΙΑ</t>
  </si>
  <si>
    <t>ANCHORS</t>
  </si>
  <si>
    <t>Stiprinājums</t>
  </si>
  <si>
    <t>KOTWY</t>
  </si>
  <si>
    <t>ANCORANTES</t>
  </si>
  <si>
    <t>ANCHETE</t>
  </si>
  <si>
    <t>ЯКОРЯ</t>
  </si>
  <si>
    <t>KOTVE</t>
  </si>
  <si>
    <t>ANCLAJES</t>
  </si>
  <si>
    <t>ANKRAR</t>
  </si>
  <si>
    <t>Anker</t>
  </si>
  <si>
    <t>ANCHORLAR</t>
  </si>
  <si>
    <t>KIKÖTÉSI PONTOK</t>
  </si>
  <si>
    <t>CONNETTORI</t>
  </si>
  <si>
    <t>SPOJKY</t>
  </si>
  <si>
    <t>连接装置</t>
  </si>
  <si>
    <t>PRIKLJUČCI</t>
  </si>
  <si>
    <t>CONNECTEURS</t>
  </si>
  <si>
    <t>コネクタ</t>
  </si>
  <si>
    <t>ΣΥΝΔΕΣΜΟΙ</t>
  </si>
  <si>
    <t>CONNECTORS</t>
  </si>
  <si>
    <t>SAVIENOTĀJI</t>
  </si>
  <si>
    <t>ZŁĄCZA</t>
  </si>
  <si>
    <t>CONECTORES</t>
  </si>
  <si>
    <t>CONECTORI</t>
  </si>
  <si>
    <t>СОЕДИНИТЕЛИ</t>
  </si>
  <si>
    <t>KONEKTORY</t>
  </si>
  <si>
    <t>PRIKLJUČEVALCI</t>
  </si>
  <si>
    <t>ANSLUTNINGAR</t>
  </si>
  <si>
    <t>Verbinder</t>
  </si>
  <si>
    <t>KONEKTÖRLER</t>
  </si>
  <si>
    <t>CSATLAKOZÓK</t>
  </si>
  <si>
    <t>TRIPODI</t>
  </si>
  <si>
    <t>TROJNOŽKY</t>
  </si>
  <si>
    <t>三脚架</t>
  </si>
  <si>
    <t>TRIPODS</t>
  </si>
  <si>
    <t>三脚</t>
  </si>
  <si>
    <t>ΤΡΙΠΟΔΕΣ</t>
  </si>
  <si>
    <t>Trijkāji</t>
  </si>
  <si>
    <t>STATYWY</t>
  </si>
  <si>
    <t>TRIPODE</t>
  </si>
  <si>
    <t>ШТАТИВЫ</t>
  </si>
  <si>
    <t>TRIPODY</t>
  </si>
  <si>
    <t>TRIPODES</t>
  </si>
  <si>
    <t>TRIPODER</t>
  </si>
  <si>
    <t>Dreibein</t>
  </si>
  <si>
    <t>TRİPODLAR</t>
  </si>
  <si>
    <t>TRIPODOK</t>
  </si>
  <si>
    <t>BIPODI</t>
  </si>
  <si>
    <t>DVOJNOŽKY</t>
  </si>
  <si>
    <t>臂架</t>
  </si>
  <si>
    <t>BIPODS</t>
  </si>
  <si>
    <t>二脚</t>
  </si>
  <si>
    <t>ΔΙΠΟΔΕΣ</t>
  </si>
  <si>
    <t>dwójnogi</t>
  </si>
  <si>
    <t>BIPODE</t>
  </si>
  <si>
    <t>сошки</t>
  </si>
  <si>
    <t>BIPODY</t>
  </si>
  <si>
    <t>BIPODES</t>
  </si>
  <si>
    <t>Zweibein</t>
  </si>
  <si>
    <t>BİPODLAR</t>
  </si>
  <si>
    <t>BIPODOK</t>
  </si>
  <si>
    <t>GUANTI</t>
  </si>
  <si>
    <t>RUKAVICE</t>
  </si>
  <si>
    <t>护目镜</t>
  </si>
  <si>
    <t>GANTS</t>
  </si>
  <si>
    <t>グローブ</t>
  </si>
  <si>
    <t>ΓΑΝΤΙΑ</t>
  </si>
  <si>
    <t>GLOVES</t>
  </si>
  <si>
    <t>Cimdi</t>
  </si>
  <si>
    <t>RĘKAWICZKI</t>
  </si>
  <si>
    <t>LUVAS</t>
  </si>
  <si>
    <t>MÂINI</t>
  </si>
  <si>
    <t>ПЕРЧАТКИ</t>
  </si>
  <si>
    <t>ROKAVICE</t>
  </si>
  <si>
    <t>GUANTES</t>
  </si>
  <si>
    <t>HANDSKAR</t>
  </si>
  <si>
    <t>HANDSCHUHE</t>
  </si>
  <si>
    <t>ELDİVENLER</t>
  </si>
  <si>
    <t>KESZTYŰK</t>
  </si>
  <si>
    <t>ORECCHIE</t>
  </si>
  <si>
    <t>CHRÁNIČE SLUCHU</t>
  </si>
  <si>
    <t>耳朵</t>
  </si>
  <si>
    <t>UŠI</t>
  </si>
  <si>
    <t>OREILLES</t>
  </si>
  <si>
    <t>耳</t>
  </si>
  <si>
    <t>ΑΥΤΙΑ</t>
  </si>
  <si>
    <t>EARS</t>
  </si>
  <si>
    <t>Ausis</t>
  </si>
  <si>
    <t>USZY</t>
  </si>
  <si>
    <t>ORELHAS</t>
  </si>
  <si>
    <t>URECHI</t>
  </si>
  <si>
    <t>УШИ</t>
  </si>
  <si>
    <t>AURICULARES</t>
  </si>
  <si>
    <t>ÖRON</t>
  </si>
  <si>
    <t>Ohren</t>
  </si>
  <si>
    <t>KULAKLAR</t>
  </si>
  <si>
    <t>FÜLEK</t>
  </si>
  <si>
    <t>OCCHI</t>
  </si>
  <si>
    <t>OCHRANA ZRAKU</t>
  </si>
  <si>
    <t>眼睛</t>
  </si>
  <si>
    <t>OČI</t>
  </si>
  <si>
    <t>YEUX</t>
  </si>
  <si>
    <t>目</t>
  </si>
  <si>
    <t>ΜΑΤΙΑ</t>
  </si>
  <si>
    <t>EYES</t>
  </si>
  <si>
    <t>Acis</t>
  </si>
  <si>
    <t>OCZY</t>
  </si>
  <si>
    <t>OLHOS</t>
  </si>
  <si>
    <t>OCHI</t>
  </si>
  <si>
    <t>ГЛАЗА</t>
  </si>
  <si>
    <t>CASCOS AUDITIVOS</t>
  </si>
  <si>
    <t>ÖGON</t>
  </si>
  <si>
    <t>AUGEN</t>
  </si>
  <si>
    <t>GÖZLER</t>
  </si>
  <si>
    <t>SZEMEK</t>
  </si>
  <si>
    <t>OPRAVY</t>
  </si>
  <si>
    <t>固定装置</t>
  </si>
  <si>
    <t>FIKSIRANJA</t>
  </si>
  <si>
    <t>FIXINGS</t>
  </si>
  <si>
    <t>FIKSATORI</t>
  </si>
  <si>
    <t>FIXAÇÕES</t>
  </si>
  <si>
    <t>КРЕПЛЕНИЯ</t>
  </si>
  <si>
    <t>PRIPOMBE</t>
  </si>
  <si>
    <t>FIXERINGAR</t>
  </si>
  <si>
    <t>DÜZENLEMELER</t>
  </si>
  <si>
    <t>SITEMI DI FISSAGGIO</t>
  </si>
  <si>
    <t>UPEVŇOVACÍ SYSTÉMY</t>
  </si>
  <si>
    <t>紧固件系统</t>
  </si>
  <si>
    <t>SISTEMI PRIČVRŠČIVANJA</t>
  </si>
  <si>
    <t>SYSTÈMES DE FIXATION</t>
  </si>
  <si>
    <t>締結システム</t>
  </si>
  <si>
    <t>ΣΥΣΤΗΜΑΤΑ ΣΤΕΡΕΩΣΗΣ</t>
  </si>
  <si>
    <t>FASTENINGS SYSTEMS</t>
  </si>
  <si>
    <t>STIPRINĀJUMU SISTĒMAS</t>
  </si>
  <si>
    <t>SYSTEMY ZAMOCOWAŃ</t>
  </si>
  <si>
    <t>SISTEMAS DE FIXAÇÃO</t>
  </si>
  <si>
    <t>SISTEME DE FIXARE</t>
  </si>
  <si>
    <t>СИСТЕМЫ КРЕПЛЕНИЯ</t>
  </si>
  <si>
    <t>UPEVŇOVACIE SYSTÉMY</t>
  </si>
  <si>
    <t>PRITRDILNI SISTEMI</t>
  </si>
  <si>
    <t>SISTEMAS DE FIJACIÓN</t>
  </si>
  <si>
    <t>FÄSTNINGSSYSTEM</t>
  </si>
  <si>
    <t>BEFESTIGUNGSSYSTEME</t>
  </si>
  <si>
    <t>BAĞLANTI SİSTEMLERİ</t>
  </si>
  <si>
    <t>RÖGZÍTŐ RENDSZEREK</t>
  </si>
  <si>
    <t>Corrimano</t>
  </si>
  <si>
    <t>Zábradlí</t>
  </si>
  <si>
    <t>扶手栏杆</t>
  </si>
  <si>
    <t>Rukohvat</t>
  </si>
  <si>
    <t>Main courante</t>
  </si>
  <si>
    <t>手すり</t>
  </si>
  <si>
    <t>Κουπαστή</t>
  </si>
  <si>
    <t>Handrail</t>
  </si>
  <si>
    <t>Margas</t>
  </si>
  <si>
    <t>Poręcz</t>
  </si>
  <si>
    <t>Corrimão</t>
  </si>
  <si>
    <t>Balustradă</t>
  </si>
  <si>
    <t>Поручень</t>
  </si>
  <si>
    <t>Zábradlie</t>
  </si>
  <si>
    <t>Ograje</t>
  </si>
  <si>
    <t>Pasamanos</t>
  </si>
  <si>
    <t>Ledstång</t>
  </si>
  <si>
    <t>Handlauf</t>
  </si>
  <si>
    <t>Küpeşte</t>
  </si>
  <si>
    <t>Kapaszkodó</t>
  </si>
  <si>
    <t>Dritto</t>
  </si>
  <si>
    <t>Přímo</t>
  </si>
  <si>
    <t>直立</t>
  </si>
  <si>
    <t>RAVAN</t>
  </si>
  <si>
    <t>Droit</t>
  </si>
  <si>
    <t>真直ぐ</t>
  </si>
  <si>
    <t>Στρέιτ</t>
  </si>
  <si>
    <t>Straight</t>
  </si>
  <si>
    <t>Taisni</t>
  </si>
  <si>
    <t>Prosto</t>
  </si>
  <si>
    <t>Direito</t>
  </si>
  <si>
    <t>Streight</t>
  </si>
  <si>
    <t>прямой</t>
  </si>
  <si>
    <t>Priamy</t>
  </si>
  <si>
    <t>Preproga</t>
  </si>
  <si>
    <t>RECTO</t>
  </si>
  <si>
    <t>Gerade</t>
  </si>
  <si>
    <t>düz</t>
  </si>
  <si>
    <t>Egyenes</t>
  </si>
  <si>
    <t>Inclinato</t>
  </si>
  <si>
    <t>Nakloněný</t>
  </si>
  <si>
    <t>倾斜的</t>
  </si>
  <si>
    <t>NAGNUT</t>
  </si>
  <si>
    <t>Incliné</t>
  </si>
  <si>
    <t>傾斜</t>
  </si>
  <si>
    <t>Κεκλιμένος</t>
  </si>
  <si>
    <t>Inclined</t>
  </si>
  <si>
    <t>Slīpi</t>
  </si>
  <si>
    <t>Skłonny</t>
  </si>
  <si>
    <t>Inclinado</t>
  </si>
  <si>
    <t>Înclinat</t>
  </si>
  <si>
    <t>Наклонный</t>
  </si>
  <si>
    <t>Šikmé</t>
  </si>
  <si>
    <t>Nagnjeno</t>
  </si>
  <si>
    <t>Lutande</t>
  </si>
  <si>
    <t>Geneigt</t>
  </si>
  <si>
    <t>eğimli</t>
  </si>
  <si>
    <t>Ferde</t>
  </si>
  <si>
    <t>Tavola Fermapiede</t>
  </si>
  <si>
    <t>Okopová lišta</t>
  </si>
  <si>
    <t>托板</t>
  </si>
  <si>
    <t>ŠIRINA STOPALA</t>
  </si>
  <si>
    <t>Planche de la main courante</t>
  </si>
  <si>
    <t>トーボード</t>
  </si>
  <si>
    <t>Πλάκα ποδιών</t>
  </si>
  <si>
    <t>Toeboard</t>
  </si>
  <si>
    <t>Kājas dēļis</t>
  </si>
  <si>
    <t>Krawężnik</t>
  </si>
  <si>
    <t>Tabuleiro</t>
  </si>
  <si>
    <t>Носочная доска</t>
  </si>
  <si>
    <t>Talna deska</t>
  </si>
  <si>
    <t>Rodapié</t>
  </si>
  <si>
    <t>Bordbrett</t>
  </si>
  <si>
    <t>Süpürgelik</t>
  </si>
  <si>
    <t>Bokaléc</t>
  </si>
  <si>
    <t>Prezzo Listino/ml</t>
  </si>
  <si>
    <t>Cena/m</t>
  </si>
  <si>
    <t>价格表/m</t>
  </si>
  <si>
    <t>Cjenik/m</t>
  </si>
  <si>
    <t>Liste de prix/ml</t>
  </si>
  <si>
    <t>定価 / m</t>
  </si>
  <si>
    <t>Τιμοκατάλογος/μ</t>
  </si>
  <si>
    <t>Price List/m</t>
  </si>
  <si>
    <t>Cenrādis/m</t>
  </si>
  <si>
    <t>Cennik/m</t>
  </si>
  <si>
    <t>Lista de preços/m</t>
  </si>
  <si>
    <t>Lista de prețuri/m</t>
  </si>
  <si>
    <t>Прайс-лист/м</t>
  </si>
  <si>
    <t>Cenník/m</t>
  </si>
  <si>
    <t>Cenik/m</t>
  </si>
  <si>
    <t>Lista de precios/ml</t>
  </si>
  <si>
    <t>Prislista/m</t>
  </si>
  <si>
    <t>Preisliste/ml</t>
  </si>
  <si>
    <t>Fiyat Listesi/m</t>
  </si>
  <si>
    <t>Árlista/m</t>
  </si>
  <si>
    <t>AUTOPORTANTE</t>
  </si>
  <si>
    <t>SAMONOSNÁ /ZÁTĚŽOVÁ</t>
  </si>
  <si>
    <t>弹力板</t>
  </si>
  <si>
    <t>ISPUNJEN BALASTOM</t>
  </si>
  <si>
    <t>AUTOPORTANT</t>
  </si>
  <si>
    <t>自立</t>
  </si>
  <si>
    <t>ΣΦΡΑΓΙΣΜΕΝΟ</t>
  </si>
  <si>
    <t>BALLASTED</t>
  </si>
  <si>
    <t>Ar atsvaru</t>
  </si>
  <si>
    <t>BALASTOWANE</t>
  </si>
  <si>
    <t>BALASTRO</t>
  </si>
  <si>
    <t>БАЛЛАСТ</t>
  </si>
  <si>
    <t>BALASTED</t>
  </si>
  <si>
    <t>BALLASTAD</t>
  </si>
  <si>
    <t>SELBSTTRAGEND</t>
  </si>
  <si>
    <t>BALASTLI</t>
  </si>
  <si>
    <t>SÚLYOZOTT</t>
  </si>
  <si>
    <t>Montante</t>
  </si>
  <si>
    <t>Vzpřímený</t>
  </si>
  <si>
    <t>直立式</t>
  </si>
  <si>
    <t>Uspravno</t>
  </si>
  <si>
    <t>Debout</t>
  </si>
  <si>
    <t>Ορθιος</t>
  </si>
  <si>
    <t>Upright</t>
  </si>
  <si>
    <t>Vertikālais</t>
  </si>
  <si>
    <t>Pionowo</t>
  </si>
  <si>
    <t>Vertical</t>
  </si>
  <si>
    <t>Вертикальный</t>
  </si>
  <si>
    <t>Vzpriamená</t>
  </si>
  <si>
    <t>Navpično</t>
  </si>
  <si>
    <t>MONTANTE</t>
  </si>
  <si>
    <t>Upprätt</t>
  </si>
  <si>
    <t>Pfosten</t>
  </si>
  <si>
    <t>Dik</t>
  </si>
  <si>
    <t>Felálló</t>
  </si>
  <si>
    <t>Diritto</t>
  </si>
  <si>
    <t>Přímý</t>
  </si>
  <si>
    <t>直的</t>
  </si>
  <si>
    <t>Ravno</t>
  </si>
  <si>
    <t>Ευθεία</t>
  </si>
  <si>
    <t>Proste</t>
  </si>
  <si>
    <t>Alinhado</t>
  </si>
  <si>
    <t>Drept</t>
  </si>
  <si>
    <t>Прямой</t>
  </si>
  <si>
    <t>Rovná</t>
  </si>
  <si>
    <t>Ravna</t>
  </si>
  <si>
    <t>Recto</t>
  </si>
  <si>
    <t>Hetero</t>
  </si>
  <si>
    <t>Düz</t>
  </si>
  <si>
    <t>Corrente</t>
  </si>
  <si>
    <t>Středová tyč</t>
  </si>
  <si>
    <t>中间杆</t>
  </si>
  <si>
    <t>SREDIŠNJA ŠIPKA</t>
  </si>
  <si>
    <t>Actuel</t>
  </si>
  <si>
    <t>中間バー</t>
  </si>
  <si>
    <t>Ενδιάμεσο Μπάρα</t>
  </si>
  <si>
    <t>Intermediate Bar</t>
  </si>
  <si>
    <t>Starpposma stienis</t>
  </si>
  <si>
    <t>Pośredni pasek</t>
  </si>
  <si>
    <t>Barra intermédia</t>
  </si>
  <si>
    <t>Bară intermediară</t>
  </si>
  <si>
    <t>Промежуточный бар</t>
  </si>
  <si>
    <t>Stredná tyč</t>
  </si>
  <si>
    <t>Vmesna palica</t>
  </si>
  <si>
    <t>CORRIENTE</t>
  </si>
  <si>
    <t>Mellanliggande bar</t>
  </si>
  <si>
    <t>Strom</t>
  </si>
  <si>
    <t>Orta Çubuk</t>
  </si>
  <si>
    <t>Köztes rúd</t>
  </si>
  <si>
    <t>Altezza Montante</t>
  </si>
  <si>
    <t>Výška slouku</t>
  </si>
  <si>
    <t>直立高度</t>
  </si>
  <si>
    <t>GORNJA visina</t>
  </si>
  <si>
    <t>Hauteur du mât</t>
  </si>
  <si>
    <t>直立高さ</t>
  </si>
  <si>
    <t>Όρθιο ύψος</t>
  </si>
  <si>
    <t>Upright height</t>
  </si>
  <si>
    <t>Vertikālais augstums</t>
  </si>
  <si>
    <t>Wysokość w pionie</t>
  </si>
  <si>
    <t>Altura montante</t>
  </si>
  <si>
    <t>Înălțime verticală</t>
  </si>
  <si>
    <t>Высота в вертикальном положении</t>
  </si>
  <si>
    <t>Výška stojana</t>
  </si>
  <si>
    <t>Višina pokončne mize</t>
  </si>
  <si>
    <t>Altura del montante</t>
  </si>
  <si>
    <t>Upprätt höjd</t>
  </si>
  <si>
    <t>Pfostenhöhe</t>
  </si>
  <si>
    <t>dik yükseklik</t>
  </si>
  <si>
    <t>Magasság</t>
  </si>
  <si>
    <t>Normativa di riferimento</t>
  </si>
  <si>
    <t>Referenční standard</t>
  </si>
  <si>
    <t xml:space="preserve">规范性参考 </t>
  </si>
  <si>
    <t>Referentna norma</t>
  </si>
  <si>
    <t>Norme de référence</t>
  </si>
  <si>
    <t>参照基準</t>
  </si>
  <si>
    <t>Κανονισμος</t>
  </si>
  <si>
    <t>Reference Normative</t>
  </si>
  <si>
    <t>Atsauces Normatīvs</t>
  </si>
  <si>
    <t>Odniesienie normatywne</t>
  </si>
  <si>
    <t>Norma de referência</t>
  </si>
  <si>
    <t>Referință Normativ</t>
  </si>
  <si>
    <t>Справочный норматив</t>
  </si>
  <si>
    <t>Referenčná normatívna hodnota</t>
  </si>
  <si>
    <t>Referenčna normativna</t>
  </si>
  <si>
    <t>Normativa de referencia</t>
  </si>
  <si>
    <t>Referens Normativ</t>
  </si>
  <si>
    <t>Referenznorm</t>
  </si>
  <si>
    <t>Referans Normatifi</t>
  </si>
  <si>
    <t>Hivatkozás Normatív</t>
  </si>
  <si>
    <t>Composizione Parapetto</t>
  </si>
  <si>
    <t>Složení zábradlí</t>
  </si>
  <si>
    <t>护栏组成</t>
  </si>
  <si>
    <t>Sastav ZAŠTITNE ograde</t>
  </si>
  <si>
    <t>Composition du parapet</t>
  </si>
  <si>
    <t>ガードレール構成</t>
  </si>
  <si>
    <t>Σύνθεση προστατευτικού κιγκλιδώματος</t>
  </si>
  <si>
    <t>Guardrail composition</t>
  </si>
  <si>
    <t>Aizsargu margu sastāvs</t>
  </si>
  <si>
    <t>Skład balustrady</t>
  </si>
  <si>
    <t>Composição do parapeito</t>
  </si>
  <si>
    <t>Compoziția balustradei</t>
  </si>
  <si>
    <t>Состав ограждения</t>
  </si>
  <si>
    <t>Zloženie zábradlia</t>
  </si>
  <si>
    <t>Sestava ograje</t>
  </si>
  <si>
    <t>Composición de la barandilla</t>
  </si>
  <si>
    <t>Skyddsräckkomposition</t>
  </si>
  <si>
    <t>Zusammensetzung der Brüstung</t>
  </si>
  <si>
    <t>korkuluk bileşimi</t>
  </si>
  <si>
    <t>VÉDŐKORLÁT ÖSSZEÁLLÍTÁSA</t>
  </si>
  <si>
    <t>Lunghezza totale parapetto</t>
  </si>
  <si>
    <t>Celková délka zábradlí</t>
  </si>
  <si>
    <t>护栏的总长度</t>
  </si>
  <si>
    <t>Ukupna duljina zaštitne ograde</t>
  </si>
  <si>
    <t>Longueur totale du parapet</t>
  </si>
  <si>
    <t>ガードレール全長</t>
  </si>
  <si>
    <t>Συνολικό μήκος προστατευτικού κιγκλιδώματος</t>
  </si>
  <si>
    <t>Total length of guardrail</t>
  </si>
  <si>
    <t>Aizsargu margas kopējais garums</t>
  </si>
  <si>
    <t>Całkowita długość poręczy</t>
  </si>
  <si>
    <t>Comprimento total do parapeito</t>
  </si>
  <si>
    <t>Lungimea totală a parapetului de protecție</t>
  </si>
  <si>
    <t>Общая длина ограждения</t>
  </si>
  <si>
    <t>Celková dĺžka zábradlia</t>
  </si>
  <si>
    <t>Skupna dolžina ograje</t>
  </si>
  <si>
    <t>Longitud total de la barandilla</t>
  </si>
  <si>
    <t>Total längd av räcke</t>
  </si>
  <si>
    <t>Gesamtlänge der Brüstung</t>
  </si>
  <si>
    <t>Toplam korkuluk uzunluğu</t>
  </si>
  <si>
    <t>A korlát teljes hossza</t>
  </si>
  <si>
    <t>Rohy</t>
  </si>
  <si>
    <t>拐角</t>
  </si>
  <si>
    <t>Kutovi</t>
  </si>
  <si>
    <t>Coins</t>
  </si>
  <si>
    <t>コーナー</t>
  </si>
  <si>
    <t>Γωνίες</t>
  </si>
  <si>
    <t>Corners</t>
  </si>
  <si>
    <t>Stūri</t>
  </si>
  <si>
    <t>Narożniki</t>
  </si>
  <si>
    <t>Cantos</t>
  </si>
  <si>
    <t>Colțuri</t>
  </si>
  <si>
    <t>Углы</t>
  </si>
  <si>
    <t>Vogali</t>
  </si>
  <si>
    <t>ángulos</t>
  </si>
  <si>
    <t>Hörn</t>
  </si>
  <si>
    <t>Ecken</t>
  </si>
  <si>
    <t>köşeler</t>
  </si>
  <si>
    <t>Sarkok</t>
  </si>
  <si>
    <t>Fissaggi a muro</t>
  </si>
  <si>
    <t>Upevnění na stěnu</t>
  </si>
  <si>
    <t>墙体固定装置</t>
  </si>
  <si>
    <t>Zidni pričvršćivači</t>
  </si>
  <si>
    <t>Fixations murales</t>
  </si>
  <si>
    <t>壁の締結</t>
  </si>
  <si>
    <t>Στερέωση τοίχων</t>
  </si>
  <si>
    <t>Wall fixings</t>
  </si>
  <si>
    <t>Sienas stiprinājumi</t>
  </si>
  <si>
    <t>Mocowania ścienne</t>
  </si>
  <si>
    <t>Fixações de parede</t>
  </si>
  <si>
    <t>Fixări de perete</t>
  </si>
  <si>
    <t>Крепления к стене</t>
  </si>
  <si>
    <t>Upevnenie na stenu</t>
  </si>
  <si>
    <t>Pritrditev na steno</t>
  </si>
  <si>
    <t>Fijaciones a pared</t>
  </si>
  <si>
    <t>Väggfästen</t>
  </si>
  <si>
    <t>Befestigung an der Wand</t>
  </si>
  <si>
    <t>Duvar sabitlemeleri</t>
  </si>
  <si>
    <t>Fali rögzítések</t>
  </si>
  <si>
    <t>Terminali non a muro</t>
  </si>
  <si>
    <t>Nestěnové svorky</t>
  </si>
  <si>
    <t>非墙端</t>
  </si>
  <si>
    <t>BEZ ZIDNIH ZAVRŠETAKA</t>
  </si>
  <si>
    <t>Bornes non murales</t>
  </si>
  <si>
    <t>壁の端ではない</t>
  </si>
  <si>
    <t>Όχι άκρα τοίχου</t>
  </si>
  <si>
    <t>Not wall ends</t>
  </si>
  <si>
    <t>Ne sienas gali</t>
  </si>
  <si>
    <t>Nie kończy się ściana</t>
  </si>
  <si>
    <t>Não extremidades de parede</t>
  </si>
  <si>
    <t>Nu la capetele pereților</t>
  </si>
  <si>
    <t>Не кончается стена</t>
  </si>
  <si>
    <t>Nie konce stien</t>
  </si>
  <si>
    <t>Ne na koncih stene</t>
  </si>
  <si>
    <t>No extremos a pared</t>
  </si>
  <si>
    <t>Inte väggändar</t>
  </si>
  <si>
    <t>Nicht-Wandterminals</t>
  </si>
  <si>
    <t>Duvar bitmez</t>
  </si>
  <si>
    <t>Nem fali végek</t>
  </si>
  <si>
    <t>Kit cancelletto</t>
  </si>
  <si>
    <t>Dvířka set</t>
  </si>
  <si>
    <t>闸门套件</t>
  </si>
  <si>
    <t>Komplet za vrata</t>
  </si>
  <si>
    <t>Porte du kit</t>
  </si>
  <si>
    <t>ゲートキット</t>
  </si>
  <si>
    <t>Κιτ Πύλης</t>
  </si>
  <si>
    <t>Gate Kit</t>
  </si>
  <si>
    <t>Vārtu komplekts</t>
  </si>
  <si>
    <t>Zestaw bramek</t>
  </si>
  <si>
    <t>Kit de Portão</t>
  </si>
  <si>
    <t>Kit pentru poartă</t>
  </si>
  <si>
    <t>Комплект ворот</t>
  </si>
  <si>
    <t>Súprava brány</t>
  </si>
  <si>
    <t>Komplet vrat</t>
  </si>
  <si>
    <t>Kit de cerradura</t>
  </si>
  <si>
    <t>Bausatz Tor</t>
  </si>
  <si>
    <t>Kapı Kiti</t>
  </si>
  <si>
    <t>Kapu</t>
  </si>
  <si>
    <t>Versione Alu</t>
  </si>
  <si>
    <t>Verze Alu</t>
  </si>
  <si>
    <t>铝制版本</t>
  </si>
  <si>
    <t>Alu verzija</t>
  </si>
  <si>
    <t>Version Alu</t>
  </si>
  <si>
    <t>Aluバージョン</t>
  </si>
  <si>
    <t>Έκδοση Alu</t>
  </si>
  <si>
    <t>Alu version</t>
  </si>
  <si>
    <t>Alumīnija versija</t>
  </si>
  <si>
    <t>Wersja alu</t>
  </si>
  <si>
    <t>Versão Alu</t>
  </si>
  <si>
    <t>Versiunea Alu</t>
  </si>
  <si>
    <t>алюминиевая версия</t>
  </si>
  <si>
    <t>Alu verzia</t>
  </si>
  <si>
    <t>Različica iz aluminija</t>
  </si>
  <si>
    <t>Versión de aluminio</t>
  </si>
  <si>
    <t>Alu-Ausführung</t>
  </si>
  <si>
    <t>Alüminyum versiyonu</t>
  </si>
  <si>
    <t>Alumínium változat</t>
  </si>
  <si>
    <t>Tipo Montante</t>
  </si>
  <si>
    <t>Typ sloupku</t>
  </si>
  <si>
    <t>直立型</t>
  </si>
  <si>
    <t>Uspravan tip</t>
  </si>
  <si>
    <t>Type de mât</t>
  </si>
  <si>
    <t>直立タイプ</t>
  </si>
  <si>
    <t>Όρθιος τύπος</t>
  </si>
  <si>
    <t>Upright type</t>
  </si>
  <si>
    <t>Statīvais tips</t>
  </si>
  <si>
    <t>Typ pionowy</t>
  </si>
  <si>
    <t>Tipo montante</t>
  </si>
  <si>
    <t>Tip vertical</t>
  </si>
  <si>
    <t>Вертикальный тип</t>
  </si>
  <si>
    <t>Vzpriamený typ</t>
  </si>
  <si>
    <t>Navpična izvedba</t>
  </si>
  <si>
    <t>Upprätt typ</t>
  </si>
  <si>
    <t>Pfostentyp</t>
  </si>
  <si>
    <t>dik tip</t>
  </si>
  <si>
    <t>Támaszték típusa</t>
  </si>
  <si>
    <t>Arrodondamento ml</t>
  </si>
  <si>
    <t>Zaokrouhlování v m</t>
  </si>
  <si>
    <t>圆弧形ml</t>
  </si>
  <si>
    <t>Zaokruživanje ml</t>
  </si>
  <si>
    <t>Arrondissement ml</t>
  </si>
  <si>
    <t>四捨五入したml</t>
  </si>
  <si>
    <t>Στρογγυλοποίηση ml</t>
  </si>
  <si>
    <t>Rounding ml</t>
  </si>
  <si>
    <t>Noapaļojums ml</t>
  </si>
  <si>
    <t>Zaokrąglanie ml</t>
  </si>
  <si>
    <t>Arredondamento de ml</t>
  </si>
  <si>
    <t>Rotunjire ml</t>
  </si>
  <si>
    <t>Округление мл</t>
  </si>
  <si>
    <t>Zaoblenie ml</t>
  </si>
  <si>
    <t>Zaokrožitev ml</t>
  </si>
  <si>
    <t>Redondeo ml</t>
  </si>
  <si>
    <t>Avrundning ml</t>
  </si>
  <si>
    <t>Rundung ml</t>
  </si>
  <si>
    <t>Yuvarlama ml</t>
  </si>
  <si>
    <t>Kerekítés ml</t>
  </si>
  <si>
    <t>Interasse Montanti</t>
  </si>
  <si>
    <t>Rozteč sloupků</t>
  </si>
  <si>
    <t>直立柱跨度</t>
  </si>
  <si>
    <t>Raspon stupova</t>
  </si>
  <si>
    <t>Espacement des poteaux</t>
  </si>
  <si>
    <t>直立スパン</t>
  </si>
  <si>
    <t>Όρθιο εύρος</t>
  </si>
  <si>
    <t>Uprights span</t>
  </si>
  <si>
    <t>Statņu diapazons</t>
  </si>
  <si>
    <t>Rozpiętość słupków</t>
  </si>
  <si>
    <t>Vão entre montantes</t>
  </si>
  <si>
    <t>Ampatamentul montanților</t>
  </si>
  <si>
    <t>Пролет стоек</t>
  </si>
  <si>
    <t>Rozpätie stĺpikov</t>
  </si>
  <si>
    <t>Razpon pokončnikov</t>
  </si>
  <si>
    <t>Distancia entre montantes</t>
  </si>
  <si>
    <t>Stolpar sträcker sig</t>
  </si>
  <si>
    <t>Abstand zwischen den Pfosten</t>
  </si>
  <si>
    <t>Direkler açıklığı</t>
  </si>
  <si>
    <t>Támaszok fesztávolsága</t>
  </si>
  <si>
    <t>N. montanti</t>
  </si>
  <si>
    <t>Počet sloupků</t>
  </si>
  <si>
    <t>直立柱数量</t>
  </si>
  <si>
    <t>Uspravi br.</t>
  </si>
  <si>
    <t>Nombre de montants</t>
  </si>
  <si>
    <t>直立番号</t>
  </si>
  <si>
    <t>Όρθιοι αρ.</t>
  </si>
  <si>
    <t>Uprights no.</t>
  </si>
  <si>
    <t>Statņu skaits</t>
  </si>
  <si>
    <t>Stojaki nr.</t>
  </si>
  <si>
    <t>N.º de montantes.</t>
  </si>
  <si>
    <t>Montanți nr.</t>
  </si>
  <si>
    <t>Стойки нет.</t>
  </si>
  <si>
    <t>Stojany č.</t>
  </si>
  <si>
    <t>Št. pokončnih stebričkov</t>
  </si>
  <si>
    <t>Número de montantes</t>
  </si>
  <si>
    <t>Stolpar nr.</t>
  </si>
  <si>
    <t>Anzahl der Stützen</t>
  </si>
  <si>
    <t>Direkler hayır.</t>
  </si>
  <si>
    <t>Támaszok száma</t>
  </si>
  <si>
    <t>Input n. montanti</t>
  </si>
  <si>
    <t>Vstupní počet sloupků</t>
  </si>
  <si>
    <t>输入直立柱数量</t>
  </si>
  <si>
    <t>Ulazni stupovi br.</t>
  </si>
  <si>
    <t>Nombre de montants en entrée</t>
  </si>
  <si>
    <t>入力直立番号</t>
  </si>
  <si>
    <t>Εισαγωγή Όρθιοι αρ.</t>
  </si>
  <si>
    <t>Input Uprights no.</t>
  </si>
  <si>
    <t>Słupki wejściowe nr.</t>
  </si>
  <si>
    <t>Entrada num. de montantes</t>
  </si>
  <si>
    <t>Intrare Nr. montanți nr.</t>
  </si>
  <si>
    <t>Входные стойки нет.</t>
  </si>
  <si>
    <t>Vstupné stĺpiky č.</t>
  </si>
  <si>
    <t>Vhod Višine št.</t>
  </si>
  <si>
    <t>Número de entrada de los montantes</t>
  </si>
  <si>
    <t>Ingångsstolpar nr.</t>
  </si>
  <si>
    <t>Eingabe Anzahl der Stützen</t>
  </si>
  <si>
    <t>Giriş Direkleri no.</t>
  </si>
  <si>
    <t>Bemeneti támaszok száma</t>
  </si>
  <si>
    <t>Šířka</t>
  </si>
  <si>
    <t>宽度</t>
  </si>
  <si>
    <t>Širina</t>
  </si>
  <si>
    <t>Largeur</t>
  </si>
  <si>
    <t>幅</t>
  </si>
  <si>
    <t>Πλάτος</t>
  </si>
  <si>
    <t>Width</t>
  </si>
  <si>
    <t>Platums</t>
  </si>
  <si>
    <t>Szerokość</t>
  </si>
  <si>
    <t>Largura</t>
  </si>
  <si>
    <t>Lățime</t>
  </si>
  <si>
    <t>Ширина</t>
  </si>
  <si>
    <t>Šírka</t>
  </si>
  <si>
    <t>Ancho</t>
  </si>
  <si>
    <t>Bredd</t>
  </si>
  <si>
    <t>Breite</t>
  </si>
  <si>
    <t>Genişlik</t>
  </si>
  <si>
    <t>Szélesség</t>
  </si>
  <si>
    <t>Peso Totale</t>
  </si>
  <si>
    <t>Celková hmotnost</t>
  </si>
  <si>
    <t>总重量</t>
  </si>
  <si>
    <t>Totalna težina</t>
  </si>
  <si>
    <t>Poids total</t>
  </si>
  <si>
    <t>総重量</t>
  </si>
  <si>
    <t>Συνολικό βάρος</t>
  </si>
  <si>
    <t>Total Weight</t>
  </si>
  <si>
    <t>Kopējais svars</t>
  </si>
  <si>
    <t>Waga całkowita</t>
  </si>
  <si>
    <t>Peso total</t>
  </si>
  <si>
    <t>Greutate totală</t>
  </si>
  <si>
    <t>Общий вес</t>
  </si>
  <si>
    <t>Celková hmotnosť</t>
  </si>
  <si>
    <t>Skupna teža</t>
  </si>
  <si>
    <t>Totalvikt</t>
  </si>
  <si>
    <t>Gesamtgewicht</t>
  </si>
  <si>
    <t>Toplam ağırlık</t>
  </si>
  <si>
    <t>Teljes súly</t>
  </si>
  <si>
    <t>Costo Gestione Ordine</t>
  </si>
  <si>
    <t>Náklady na vyřízení objednávky</t>
  </si>
  <si>
    <t>订单管理成本</t>
  </si>
  <si>
    <t>Troškovi upravljanja narudžbom</t>
  </si>
  <si>
    <t>Coût de traitement des commandes</t>
  </si>
  <si>
    <t>注文管理コスト</t>
  </si>
  <si>
    <t>Κόστος διαχείρισης παραγγελιών</t>
  </si>
  <si>
    <t>Order managment cost</t>
  </si>
  <si>
    <t>Pasūtījuma pārvaldības izmaksas</t>
  </si>
  <si>
    <t>Koszt zarządzania zamówieniami</t>
  </si>
  <si>
    <t>Custo de gestão de encomendas</t>
  </si>
  <si>
    <t>Costul de gestionare a comenzii</t>
  </si>
  <si>
    <t>Стоимость управления заказами</t>
  </si>
  <si>
    <t>Náklady na správu objednávky</t>
  </si>
  <si>
    <t>Stroški upravljanja naročila</t>
  </si>
  <si>
    <t>Coste de gestión del pedido</t>
  </si>
  <si>
    <t>Orderhanteringskostnad</t>
  </si>
  <si>
    <t>Kosten der Auftragsabwicklung</t>
  </si>
  <si>
    <t>Sipariş yönetimi maliyeti</t>
  </si>
  <si>
    <t>Megrendelés kezelési költség</t>
  </si>
  <si>
    <t>Totale Prezzo Lordo</t>
  </si>
  <si>
    <t>Celková prodejní cena</t>
  </si>
  <si>
    <t>总价</t>
  </si>
  <si>
    <t>Ukupna bruto cijena</t>
  </si>
  <si>
    <t>Prix brut total</t>
  </si>
  <si>
    <t>Συνολική ακκαθάριστη τιμή</t>
  </si>
  <si>
    <t>Total Lord Price</t>
  </si>
  <si>
    <t>Kopējā cena</t>
  </si>
  <si>
    <t>Całkowita cena Lorda</t>
  </si>
  <si>
    <t>Preço Total Bruto</t>
  </si>
  <si>
    <t>Prețul total al Domnului</t>
  </si>
  <si>
    <t>Общая цена лорда</t>
  </si>
  <si>
    <t>Celková cena lorda</t>
  </si>
  <si>
    <t>Skupna cena Gospoda</t>
  </si>
  <si>
    <t>Precio bruto total</t>
  </si>
  <si>
    <t>Totalt Lord -pris</t>
  </si>
  <si>
    <t>Gesamtbruttopreis</t>
  </si>
  <si>
    <t>Toplam Lord Fiyatı</t>
  </si>
  <si>
    <t>Teljes ár</t>
  </si>
  <si>
    <t>Costo di trasporto</t>
  </si>
  <si>
    <t>Náklady na dopravu</t>
  </si>
  <si>
    <t>运输成本</t>
  </si>
  <si>
    <t>Trošak dostave</t>
  </si>
  <si>
    <t>Coût du transport</t>
  </si>
  <si>
    <t>輸送費</t>
  </si>
  <si>
    <t>Κόστος αποστολής</t>
  </si>
  <si>
    <t>Shipping Cost</t>
  </si>
  <si>
    <t>Piegādes izmaksas</t>
  </si>
  <si>
    <t>Koszty wysyłki</t>
  </si>
  <si>
    <t>Custo de envio</t>
  </si>
  <si>
    <t>Costul de expediere</t>
  </si>
  <si>
    <t>Стоимость доставки</t>
  </si>
  <si>
    <t>Stroški pošiljanja</t>
  </si>
  <si>
    <t>Coste del transporte</t>
  </si>
  <si>
    <t>Fraktkostnad</t>
  </si>
  <si>
    <t>Transportkosten</t>
  </si>
  <si>
    <t>Nakliye maliyeti</t>
  </si>
  <si>
    <t>Szállítási költség</t>
  </si>
  <si>
    <t>Prezzo Netto/ml</t>
  </si>
  <si>
    <t>Nákupní cena/m</t>
  </si>
  <si>
    <t>净价/米</t>
  </si>
  <si>
    <t>Neto cijena/m</t>
  </si>
  <si>
    <t>Prix net/ml</t>
  </si>
  <si>
    <t>税抜き合計/ m</t>
  </si>
  <si>
    <t>Καθαρή Τιμή/m</t>
  </si>
  <si>
    <t>Net Price/m</t>
  </si>
  <si>
    <t>Neto cena/m</t>
  </si>
  <si>
    <t>Cena netto/m²</t>
  </si>
  <si>
    <t>Preço líquido/m</t>
  </si>
  <si>
    <t>Preț net/m</t>
  </si>
  <si>
    <t>Цена нетто/м</t>
  </si>
  <si>
    <t>Čistá cena/m</t>
  </si>
  <si>
    <t>Precio neto/ml</t>
  </si>
  <si>
    <t>Nettopris/m</t>
  </si>
  <si>
    <t>Nettopreis/ml</t>
  </si>
  <si>
    <t>Net Fiyat/m</t>
  </si>
  <si>
    <t>Nettó ár/m</t>
  </si>
  <si>
    <t>Costo Materiale + trasporto e gestione</t>
  </si>
  <si>
    <t>Náklady na materiál + doprava a manipulace</t>
  </si>
  <si>
    <t>材料费+运费和管理费</t>
  </si>
  <si>
    <t>Cijena materijala + dostava i upravljanje</t>
  </si>
  <si>
    <t>Coût du matériel + transport et manutention</t>
  </si>
  <si>
    <t>材料費+送料と手配</t>
  </si>
  <si>
    <t>Κόστος υλικού + αποστολή και διαχείριση</t>
  </si>
  <si>
    <t>Material cost + shipping and managment</t>
  </si>
  <si>
    <t>Materiālu izmaksas + piegādes un pārvaldības izmaksas</t>
  </si>
  <si>
    <t>Koszt materiałów + wysyłka i zarządzanie</t>
  </si>
  <si>
    <t>Custo do material + envio e gestão</t>
  </si>
  <si>
    <t>Costul materialelor + transport și gestionare</t>
  </si>
  <si>
    <t>Стоимость материала + доставка и управление</t>
  </si>
  <si>
    <t>Náklady na materiál + náklady na dopravu a správu</t>
  </si>
  <si>
    <t>Stroški materiala + stroški pošiljanja in upravljanja</t>
  </si>
  <si>
    <t>Coste del material + transporte y manipulación</t>
  </si>
  <si>
    <t>Materialkostnad + frakt och hantering</t>
  </si>
  <si>
    <t>Materialkosten + Transport und Handhabung</t>
  </si>
  <si>
    <t>Malzeme maliyeti + nakliye ve yönetim</t>
  </si>
  <si>
    <t>Anyagköltség + szállítási és kezelési költség</t>
  </si>
  <si>
    <t>Costo Materiale + altre spese/ml</t>
  </si>
  <si>
    <t>Náklady na materiál + ostatní náklady/m</t>
  </si>
  <si>
    <t>材料费+其他费用/m</t>
  </si>
  <si>
    <t>Cijena materijala + ostali troškovi/m</t>
  </si>
  <si>
    <t>Coût du matériel + autres dépenses/ml</t>
  </si>
  <si>
    <t>材料費+その他の費用/ ml</t>
  </si>
  <si>
    <t>Κόστος Υλικού + άλλα έξοδα/m</t>
  </si>
  <si>
    <t>Material Cost + other costs/m</t>
  </si>
  <si>
    <t>Materiālu izmaksas + citas izmaksas/m</t>
  </si>
  <si>
    <t>Koszt materiału + inne koszty/m</t>
  </si>
  <si>
    <t>Custo do material + outros custos/m</t>
  </si>
  <si>
    <t>Costul materialelor + alte costuri/m</t>
  </si>
  <si>
    <t>Стоимость материала + прочие затраты/м</t>
  </si>
  <si>
    <t>Náklady na materiál + ostatné náklady/m</t>
  </si>
  <si>
    <t>Stroški materiala + drugi stroški/m</t>
  </si>
  <si>
    <t>Coste del material + otros gastos/ml</t>
  </si>
  <si>
    <t>Materialkostnad + andra kostnader/m</t>
  </si>
  <si>
    <t>Materialkosten + sonstige Kosten/ml</t>
  </si>
  <si>
    <t>Malzeme Maliyeti + diğer maliyetler/m</t>
  </si>
  <si>
    <t>Anyagköltség + egyéb költségek/m</t>
  </si>
  <si>
    <t>Kit Impermeabilizzazione</t>
  </si>
  <si>
    <t>Hydroizolační sada</t>
  </si>
  <si>
    <t>防水套装</t>
  </si>
  <si>
    <t>Kit za hidroizolaciju</t>
  </si>
  <si>
    <t>Kit d'imperméabilisation</t>
  </si>
  <si>
    <t>防水キット</t>
  </si>
  <si>
    <t>Σετ στεγανοποίησης</t>
  </si>
  <si>
    <t>Waterproofing Kit</t>
  </si>
  <si>
    <t>Hidroizolācijas komplekts</t>
  </si>
  <si>
    <t>Zestaw hydroizolacyjny</t>
  </si>
  <si>
    <t>Kit de impermeabilização</t>
  </si>
  <si>
    <t>Kit de impermeabilizare</t>
  </si>
  <si>
    <t>Гидроизоляционный комплект</t>
  </si>
  <si>
    <t>Súprava na hydroizoláciu</t>
  </si>
  <si>
    <t>Komplet za hidroizolacijo</t>
  </si>
  <si>
    <t>Kit de impermeabilización</t>
  </si>
  <si>
    <t>Vattentätningssats</t>
  </si>
  <si>
    <t>Abdichtungs-Kit</t>
  </si>
  <si>
    <t>Su Yalıtım Kiti</t>
  </si>
  <si>
    <t>Vízszigetelő készlet</t>
  </si>
  <si>
    <t>% Cuneo spessore/montanti</t>
  </si>
  <si>
    <t>%Vyrovnávací klíny sloupků</t>
  </si>
  <si>
    <t>修整楔子</t>
  </si>
  <si>
    <t>UČVRŠĆIVANJE KLINOM/USPRAVNO</t>
  </si>
  <si>
    <t>Cale d'épaississement</t>
  </si>
  <si>
    <t>% シミングウェッジ/直立</t>
  </si>
  <si>
    <t>Γυαλιστερή σφήνα</t>
  </si>
  <si>
    <t>% Shimming wedge/Uprights</t>
  </si>
  <si>
    <t>Regulēšanas  ķīlis</t>
  </si>
  <si>
    <t>Podkładki klinowe</t>
  </si>
  <si>
    <t>Cunha</t>
  </si>
  <si>
    <t>Cuier de calibrare</t>
  </si>
  <si>
    <t>% регулировочный клин/стойки</t>
  </si>
  <si>
    <t>Vyrovnávací klin</t>
  </si>
  <si>
    <t>Ključ za premikanje</t>
  </si>
  <si>
    <t>Cuña espesor/montante</t>
  </si>
  <si>
    <t>Skimrande kil</t>
  </si>
  <si>
    <t>Verdickungskeil</t>
  </si>
  <si>
    <t>Şimşek kaması</t>
  </si>
  <si>
    <t>Simító ék</t>
  </si>
  <si>
    <t>Distanza Extra</t>
  </si>
  <si>
    <t>Vzdálenost navíc</t>
  </si>
  <si>
    <t>额外距离</t>
  </si>
  <si>
    <t>Dodatna udaljenost</t>
  </si>
  <si>
    <t>Distance supplémentaire</t>
  </si>
  <si>
    <t>余分の距離</t>
  </si>
  <si>
    <t>Επιπλέον απόσταση</t>
  </si>
  <si>
    <t>Extra distance</t>
  </si>
  <si>
    <t>Papildu attālums</t>
  </si>
  <si>
    <t>Dodatkowa odległość</t>
  </si>
  <si>
    <t>Distância extra</t>
  </si>
  <si>
    <t>Distanța suplimentară</t>
  </si>
  <si>
    <t>Дополнительное расстояние</t>
  </si>
  <si>
    <t>Dodatočná vzdialenosť</t>
  </si>
  <si>
    <t>Dodatna razdalja</t>
  </si>
  <si>
    <t>Distancia extra</t>
  </si>
  <si>
    <t>Extra distans</t>
  </si>
  <si>
    <t>Extra Abstand</t>
  </si>
  <si>
    <t>Ekstra mesafe</t>
  </si>
  <si>
    <t>Extra távolság</t>
  </si>
  <si>
    <t>Tipo Base Verticale</t>
  </si>
  <si>
    <t>Vertikální typ základny</t>
  </si>
  <si>
    <t>垂直底座类型</t>
  </si>
  <si>
    <t>Okomita vrsta baze</t>
  </si>
  <si>
    <t>Type de base Vertical</t>
  </si>
  <si>
    <t>バーティカルベースタイプ</t>
  </si>
  <si>
    <t>Τύπος κάθετης βάσης</t>
  </si>
  <si>
    <t>Vertical Base Type</t>
  </si>
  <si>
    <t>Vertikālās pamatnes tips</t>
  </si>
  <si>
    <t>Pionowy typ podstawy</t>
  </si>
  <si>
    <t>Tipo de Base Vertical</t>
  </si>
  <si>
    <t>Tip de bază verticală</t>
  </si>
  <si>
    <t>Вертикальный базовый тип</t>
  </si>
  <si>
    <t>Typ vertikálnej základne</t>
  </si>
  <si>
    <t>Vertikalni podstavek</t>
  </si>
  <si>
    <t>Tipo de base vertical</t>
  </si>
  <si>
    <t>Vertikal bastyp</t>
  </si>
  <si>
    <t>Sockel Typ Vertikal</t>
  </si>
  <si>
    <t>Dikey Taban Tipi</t>
  </si>
  <si>
    <t>Függőleges alap típusa</t>
  </si>
  <si>
    <t>Dati Progetti</t>
  </si>
  <si>
    <t>Údaje o projektu</t>
  </si>
  <si>
    <t>项目数据</t>
  </si>
  <si>
    <t>Podaci o projektu</t>
  </si>
  <si>
    <t>Données du projet</t>
  </si>
  <si>
    <t>プロジェクトデータ</t>
  </si>
  <si>
    <t>Δεδομένα έργου</t>
  </si>
  <si>
    <t>Project Data</t>
  </si>
  <si>
    <t>Projekta dati</t>
  </si>
  <si>
    <t>Dane projektu</t>
  </si>
  <si>
    <t>Dados do projecto</t>
  </si>
  <si>
    <t>Date despre proiect</t>
  </si>
  <si>
    <t>Данные проекта</t>
  </si>
  <si>
    <t>Podatki o projektu</t>
  </si>
  <si>
    <t>Údaje o projekte</t>
  </si>
  <si>
    <t>Datos del proyecto</t>
  </si>
  <si>
    <t>Uppgifter om projektet</t>
  </si>
  <si>
    <t>Projektdaten</t>
  </si>
  <si>
    <t>Proje Verileri</t>
  </si>
  <si>
    <t>Projekt adatok</t>
  </si>
  <si>
    <t>Versione Plastica</t>
  </si>
  <si>
    <t>Plastová verze</t>
  </si>
  <si>
    <t>塑料版</t>
  </si>
  <si>
    <t>Plastična verzija</t>
  </si>
  <si>
    <t>Version en plastique</t>
  </si>
  <si>
    <t>プラスチックバージョン</t>
  </si>
  <si>
    <t>Πλαστική έκδοση</t>
  </si>
  <si>
    <t>Plastic version</t>
  </si>
  <si>
    <t>Plastmasas versija</t>
  </si>
  <si>
    <t>Wersja plastikowa</t>
  </si>
  <si>
    <t>Versão plástica</t>
  </si>
  <si>
    <t>Versiunea din plastic</t>
  </si>
  <si>
    <t>Пластиковая версия</t>
  </si>
  <si>
    <t>Plastična različica</t>
  </si>
  <si>
    <t>Plastová verzia</t>
  </si>
  <si>
    <t>Versión de plástico</t>
  </si>
  <si>
    <t>Plastversion</t>
  </si>
  <si>
    <t>Kunststoffausführung</t>
  </si>
  <si>
    <t>Plastik versiyon</t>
  </si>
  <si>
    <t>Műanyag változat</t>
  </si>
  <si>
    <t>Cartaceo</t>
  </si>
  <si>
    <t>Papír</t>
  </si>
  <si>
    <t>纸张</t>
  </si>
  <si>
    <t>Papir</t>
  </si>
  <si>
    <t>Papier</t>
  </si>
  <si>
    <t>紙</t>
  </si>
  <si>
    <t>Χαρτί</t>
  </si>
  <si>
    <t>Paper</t>
  </si>
  <si>
    <t>Papīrs</t>
  </si>
  <si>
    <t>Papel</t>
  </si>
  <si>
    <t>Hârtie</t>
  </si>
  <si>
    <t>Бумага</t>
  </si>
  <si>
    <t>Papper</t>
  </si>
  <si>
    <t>Kağıt</t>
  </si>
  <si>
    <t>Online</t>
  </si>
  <si>
    <t>在线</t>
  </si>
  <si>
    <t>En ligne</t>
  </si>
  <si>
    <t>オンライン</t>
  </si>
  <si>
    <t>Tiešsaistē</t>
  </si>
  <si>
    <t>онлайн</t>
  </si>
  <si>
    <t>En línea</t>
  </si>
  <si>
    <t>İnternet üzerinden</t>
  </si>
  <si>
    <t>Manuale</t>
  </si>
  <si>
    <t>Manuální</t>
  </si>
  <si>
    <t>手册</t>
  </si>
  <si>
    <t>Priručnik</t>
  </si>
  <si>
    <t>Manuel</t>
  </si>
  <si>
    <t>マニュアル</t>
  </si>
  <si>
    <t>Χειροκίνητο</t>
  </si>
  <si>
    <t>Manual</t>
  </si>
  <si>
    <t>Rokasgrāmata</t>
  </si>
  <si>
    <t>Podręcznik</t>
  </si>
  <si>
    <t>Руководство</t>
  </si>
  <si>
    <t>Priročnik</t>
  </si>
  <si>
    <t>Manuálne</t>
  </si>
  <si>
    <t>Manuell</t>
  </si>
  <si>
    <t>Handbuch</t>
  </si>
  <si>
    <t>Útmutató</t>
  </si>
  <si>
    <t>da spedire</t>
  </si>
  <si>
    <t>které mají být odeslány</t>
  </si>
  <si>
    <t>待发送</t>
  </si>
  <si>
    <t>poslati</t>
  </si>
  <si>
    <t>à envoyer</t>
  </si>
  <si>
    <t>送信する</t>
  </si>
  <si>
    <t>να αποσταλεί</t>
  </si>
  <si>
    <t>to be sent</t>
  </si>
  <si>
    <t>jānosūta</t>
  </si>
  <si>
    <t>do wysłania</t>
  </si>
  <si>
    <t>a enviar</t>
  </si>
  <si>
    <t>să fie trimisă</t>
  </si>
  <si>
    <t>быть отправленным</t>
  </si>
  <si>
    <t>ki jih je treba poslati</t>
  </si>
  <si>
    <t>ktoré sa majú odoslať</t>
  </si>
  <si>
    <t>que se enviará</t>
  </si>
  <si>
    <t>som ska skickas.</t>
  </si>
  <si>
    <t>zu versenden</t>
  </si>
  <si>
    <t>gönderilecek</t>
  </si>
  <si>
    <t>elküldendő</t>
  </si>
  <si>
    <t>Interasse greche pannello</t>
  </si>
  <si>
    <t>Rozpětí boku panelu</t>
  </si>
  <si>
    <t>板间距</t>
  </si>
  <si>
    <t>Razmak između ploča</t>
  </si>
  <si>
    <t>Découpage des panneaux</t>
  </si>
  <si>
    <t>サンドイッチパネル山間隔</t>
  </si>
  <si>
    <t>Απόσταση πάνελ</t>
  </si>
  <si>
    <t>Panel hips span</t>
  </si>
  <si>
    <t>paneļu atstatums</t>
  </si>
  <si>
    <t>Grecki odstęp między panelami</t>
  </si>
  <si>
    <t>Espaçamento da onda do painel</t>
  </si>
  <si>
    <t>Spațierea dintre panouri grecești</t>
  </si>
  <si>
    <t>Размах бедер панели</t>
  </si>
  <si>
    <t>Panel bokov rozpätie</t>
  </si>
  <si>
    <t>Panel razpon bokov</t>
  </si>
  <si>
    <t>Envergadura de las caderas del panel</t>
  </si>
  <si>
    <t>Panel höfter spänna</t>
  </si>
  <si>
    <t>Sickenabstand</t>
  </si>
  <si>
    <t>Panel kalça açıklığı</t>
  </si>
  <si>
    <t>Panel csípőfesz</t>
  </si>
  <si>
    <t>Fissaggi Inclusi</t>
  </si>
  <si>
    <t>Včetně upevňovacích prvků</t>
  </si>
  <si>
    <t>包括固定装置</t>
  </si>
  <si>
    <t>Pričvršćivači uključeni</t>
  </si>
  <si>
    <t>Fixations incluses</t>
  </si>
  <si>
    <t>締結具同梱</t>
  </si>
  <si>
    <t>Περιλαμβάνονται εξαρτήματα</t>
  </si>
  <si>
    <t>Fixings included</t>
  </si>
  <si>
    <t>Iekļauti stiprinājumi</t>
  </si>
  <si>
    <t>W zestawie mocowania</t>
  </si>
  <si>
    <t>Fixações incluídas</t>
  </si>
  <si>
    <t>Fixări incluse</t>
  </si>
  <si>
    <t>Крепления включены</t>
  </si>
  <si>
    <t>Upevňovacie prvky v cene</t>
  </si>
  <si>
    <t>Pritrdilni elementi vključeni</t>
  </si>
  <si>
    <t>Fijaciones incluidas</t>
  </si>
  <si>
    <t>Fästen ingår</t>
  </si>
  <si>
    <t>Befestigungsmaterial enthalten</t>
  </si>
  <si>
    <t>Sabitleme dahil</t>
  </si>
  <si>
    <t>Rögzítések mellékelve</t>
  </si>
  <si>
    <t>Rondella in EPDM</t>
  </si>
  <si>
    <t>Podložka z EPDM</t>
  </si>
  <si>
    <t>三元乙丙垫圈</t>
  </si>
  <si>
    <t>EPDM podloška</t>
  </si>
  <si>
    <t>Rondelle en EPDM</t>
  </si>
  <si>
    <t>EPDMワッシャー</t>
  </si>
  <si>
    <t>Ροδέλα EPDM</t>
  </si>
  <si>
    <t>EPDM washer</t>
  </si>
  <si>
    <t>EPDM paplāksne</t>
  </si>
  <si>
    <t>Podkładka EPDM</t>
  </si>
  <si>
    <t>Anilha de EPDM</t>
  </si>
  <si>
    <t>masina de spalat EPDM</t>
  </si>
  <si>
    <t>Шайба из ЭПДМ</t>
  </si>
  <si>
    <t>EPDM podložka</t>
  </si>
  <si>
    <t>Arandela EPDM</t>
  </si>
  <si>
    <t>EPDM bricka</t>
  </si>
  <si>
    <t>EPDM-Unterlegscheibe</t>
  </si>
  <si>
    <t>EPDM yıkayıcı</t>
  </si>
  <si>
    <t>EPDM alátét</t>
  </si>
  <si>
    <t>TIPO DI CHIUSURA</t>
  </si>
  <si>
    <t>TYP ZÁMKU</t>
  </si>
  <si>
    <t>锁类型</t>
  </si>
  <si>
    <t>VRSTA ZATVARANJA</t>
  </si>
  <si>
    <t>TYPE DE SERRURE</t>
  </si>
  <si>
    <t>鍵タイプ</t>
  </si>
  <si>
    <t>ΤΥΠΟΣ ΚΛΕΙΣΜΑΤΟΣ</t>
  </si>
  <si>
    <t>TYPE OF LOCK</t>
  </si>
  <si>
    <t>SLĒGŠANAS VEIDS</t>
  </si>
  <si>
    <t>RODZAJ ZAMKNIĘCIA</t>
  </si>
  <si>
    <t>TIPO DE FECHO</t>
  </si>
  <si>
    <t>TIP DE ÎNCHIDERE</t>
  </si>
  <si>
    <t>ТИП ЗАМКА</t>
  </si>
  <si>
    <t>VRSTA KLJUČAVNICE</t>
  </si>
  <si>
    <t>TIPO DE CERRADURA</t>
  </si>
  <si>
    <t>TYP AV LÅS</t>
  </si>
  <si>
    <t>SCHLOSSTYP</t>
  </si>
  <si>
    <t>KİLİT TÜRÜ</t>
  </si>
  <si>
    <t>ZÁRTÍPUS</t>
  </si>
  <si>
    <t>PORTA DI CHIUSURA</t>
  </si>
  <si>
    <t>ZAMYKÁNÍ DVEŘÍ</t>
  </si>
  <si>
    <t>关门</t>
  </si>
  <si>
    <t>VRATA KOJA SE ZATVARAJU</t>
  </si>
  <si>
    <t>PORTE VERROUILLÉE</t>
  </si>
  <si>
    <t>ドアを閉める</t>
  </si>
  <si>
    <t>ΠΟΡΤΑ ΠΟΥ ΚΛΕΙΝΕΙ</t>
  </si>
  <si>
    <t>LOCKING DOOR</t>
  </si>
  <si>
    <t>AIZSLĒGŠANAS DURVIS</t>
  </si>
  <si>
    <t>ZAMYKANIE DRZWI</t>
  </si>
  <si>
    <t>ÎNCHIDERE UȘĂ</t>
  </si>
  <si>
    <t>ЗАПИРАНИЕ ДВЕРИ</t>
  </si>
  <si>
    <t>ZAMYKANIE DVERÍ</t>
  </si>
  <si>
    <t>ZAKLEPNA VRATA</t>
  </si>
  <si>
    <t>PUERTA DE BLOQUEO</t>
  </si>
  <si>
    <t>LÅSAR DÖRREN</t>
  </si>
  <si>
    <t>abschließbare Tür</t>
  </si>
  <si>
    <t>KİLİTLİ KAPI</t>
  </si>
  <si>
    <t>ZÁRÓ AJTÓ</t>
  </si>
  <si>
    <t>SCALA SGANCIABILE</t>
  </si>
  <si>
    <t>ODNÍMATELNÝ ŽEBŘÍK</t>
  </si>
  <si>
    <t>可拆卸梯子</t>
  </si>
  <si>
    <t>ODJELJIVE LJESTVE</t>
  </si>
  <si>
    <t>ÉCHELLE AMOVIBLE</t>
  </si>
  <si>
    <t>取外し可能な梯子</t>
  </si>
  <si>
    <t>ΑΦΑΙΡΟΥΜΕΝΗ ΣΚΑΛΑ</t>
  </si>
  <si>
    <t>DETACHABLE LADDER</t>
  </si>
  <si>
    <t>NOŅEMAMAS KĀPNES</t>
  </si>
  <si>
    <t>ZDEJMOWANA DRABINA</t>
  </si>
  <si>
    <t>ESCADA DESTACÁVEL</t>
  </si>
  <si>
    <t>SCARA DETASABILE</t>
  </si>
  <si>
    <t>СЪЕМНАЯ ЛЕСТНИЦА</t>
  </si>
  <si>
    <t>ODNÍMATEĽNÝ REBRÍK</t>
  </si>
  <si>
    <t>LOHLJIVA LESTVA</t>
  </si>
  <si>
    <t>ESCALERA DESMONTABLE</t>
  </si>
  <si>
    <t>AVTAGBAR STEGE</t>
  </si>
  <si>
    <t>ABNEHMBARE LEITER</t>
  </si>
  <si>
    <t>SÖKÜLEBİLİR MERDİVEN</t>
  </si>
  <si>
    <t>LESZERELHETŐ LÉTRA</t>
  </si>
  <si>
    <t>Parallela alle greche</t>
  </si>
  <si>
    <t>Rovnoběžně s boky</t>
  </si>
  <si>
    <t>与板平行</t>
  </si>
  <si>
    <t>Paralelno s bokovima</t>
  </si>
  <si>
    <t>Parallèle aux lames</t>
  </si>
  <si>
    <t>サンドイッチパネル山線と平行</t>
  </si>
  <si>
    <t>Παράλληλη με την ελληνική</t>
  </si>
  <si>
    <t>Parallel to hips</t>
  </si>
  <si>
    <t>Paralēli</t>
  </si>
  <si>
    <t>Równolegle do greckiego</t>
  </si>
  <si>
    <t>Paralelo à onda</t>
  </si>
  <si>
    <t>Paralel cu grecul</t>
  </si>
  <si>
    <t>Параллельно бедрам</t>
  </si>
  <si>
    <t>Paralelne s bokmi</t>
  </si>
  <si>
    <t>Vzporedno s boki</t>
  </si>
  <si>
    <t>Paralelo a las caderas</t>
  </si>
  <si>
    <t>Parallellt med höfter</t>
  </si>
  <si>
    <t>parallel zur Sicke</t>
  </si>
  <si>
    <t>Kalçalara paralel</t>
  </si>
  <si>
    <t>Élszarufára párhuzamos</t>
  </si>
  <si>
    <t>Perpendicolare alle greche</t>
  </si>
  <si>
    <t>Kolmo k bokům</t>
  </si>
  <si>
    <t>垂直于板</t>
  </si>
  <si>
    <t>Okomito na bokove</t>
  </si>
  <si>
    <t>Perpendiculaire aux volets</t>
  </si>
  <si>
    <t>サンドイッチパネル山線に垂直</t>
  </si>
  <si>
    <t>Κάθετα στην ελληνική</t>
  </si>
  <si>
    <t>Perpendicular to hips</t>
  </si>
  <si>
    <t>Perpendikulāri</t>
  </si>
  <si>
    <t>Prostopadle do greki</t>
  </si>
  <si>
    <t>Perpendicular à onda</t>
  </si>
  <si>
    <t>Perpendicular pe greacă</t>
  </si>
  <si>
    <t>Перпендикулярно бедрам</t>
  </si>
  <si>
    <t>Kolmo na boky</t>
  </si>
  <si>
    <t>Pravokotno na boke</t>
  </si>
  <si>
    <t>Perpendicular a las caderas</t>
  </si>
  <si>
    <t>Vinkelrätt mot höfterna</t>
  </si>
  <si>
    <t>senkrecht zur Sicke</t>
  </si>
  <si>
    <t>kalçalara dik</t>
  </si>
  <si>
    <t>Élszarufára merőleges</t>
  </si>
  <si>
    <t>SISTEMA DI RIPOSO</t>
  </si>
  <si>
    <t>ODPOČÍVACÍ SYSTÉM</t>
  </si>
  <si>
    <t>支撑系统</t>
  </si>
  <si>
    <t>SUSTAV ZA ODMOR</t>
  </si>
  <si>
    <t>SYSTÈME DE REPOS</t>
  </si>
  <si>
    <t>休息システム</t>
  </si>
  <si>
    <t>ΣΥΣΤΗΜΑ ΑΝΑΠΑΥΣΗΣ</t>
  </si>
  <si>
    <t>RESTING SYSTEM</t>
  </si>
  <si>
    <t>ATPŪTAS SISTĒMA</t>
  </si>
  <si>
    <t>SYSTEM WYPOCZYNKU</t>
  </si>
  <si>
    <t>SISTEMA DE REPOUSO</t>
  </si>
  <si>
    <t>SISTEM DE ODIHNA</t>
  </si>
  <si>
    <t>СИСТЕМА ОТДЫХА</t>
  </si>
  <si>
    <t>ODPOČINOVÝ SYSTÉM</t>
  </si>
  <si>
    <t>SISTEM POČIVANJA</t>
  </si>
  <si>
    <t>SISTEMA DE DESCANSO</t>
  </si>
  <si>
    <t>VILOSYSTEM</t>
  </si>
  <si>
    <t>RUHESYSTEM</t>
  </si>
  <si>
    <t>DİNLENME SİSTEMİ</t>
  </si>
  <si>
    <t>PIHENŐ RENDSZER</t>
  </si>
  <si>
    <t>MODULO DI SDOPPIAMENTO</t>
  </si>
  <si>
    <t>ROZDĚLOVACÍ MODUL</t>
  </si>
  <si>
    <t>分裂模块</t>
  </si>
  <si>
    <t>DIJELJIVI MODUL</t>
  </si>
  <si>
    <t>MODULE DE FRACTIONNEMENT</t>
  </si>
  <si>
    <t>分割モジュール</t>
  </si>
  <si>
    <t>ΑΠΟΣΠΩΜΕΝΗ ΕΚΔΟΣΗ</t>
  </si>
  <si>
    <t>SPLITTING MODULE</t>
  </si>
  <si>
    <t>IZLAIDINĀŠANAS MODULIS</t>
  </si>
  <si>
    <t>MODUŁ WYDANIA</t>
  </si>
  <si>
    <t>MÓDULO DE DESENGANCHO</t>
  </si>
  <si>
    <t>MODUL DE LANSAREA</t>
  </si>
  <si>
    <t>РАЗДЕЛИТЕЛЬНЫЙ МОДУЛЬ</t>
  </si>
  <si>
    <t>ŠTIEPACÍ MODUL</t>
  </si>
  <si>
    <t>MODUL ZA DELITEV</t>
  </si>
  <si>
    <t>MÓDULO DE DIVISIÓN</t>
  </si>
  <si>
    <t>DELNINGSMODUL</t>
  </si>
  <si>
    <t>SPALTMODUL</t>
  </si>
  <si>
    <t>AYIRMA MODÜLÜ</t>
  </si>
  <si>
    <t>OSZTÓ MODUL</t>
  </si>
  <si>
    <t>DESTRA</t>
  </si>
  <si>
    <t>PRAVÁ</t>
  </si>
  <si>
    <t>右边</t>
  </si>
  <si>
    <t>DESNO</t>
  </si>
  <si>
    <t>DROIT</t>
  </si>
  <si>
    <t>右</t>
  </si>
  <si>
    <t>ΔΕΞΙΑ</t>
  </si>
  <si>
    <t>RIGHT</t>
  </si>
  <si>
    <t>PA LABI</t>
  </si>
  <si>
    <t>PRAWIDŁOWY</t>
  </si>
  <si>
    <t>DIREITA</t>
  </si>
  <si>
    <t>DREAPTA</t>
  </si>
  <si>
    <t>ПРАВИЛЬНО</t>
  </si>
  <si>
    <t>SPRÁVNY</t>
  </si>
  <si>
    <t>PRAV</t>
  </si>
  <si>
    <t>DERECHO</t>
  </si>
  <si>
    <t>HÖGER</t>
  </si>
  <si>
    <t>RECHTS</t>
  </si>
  <si>
    <t>SAĞ</t>
  </si>
  <si>
    <t>JOBB</t>
  </si>
  <si>
    <t>SINISTRA</t>
  </si>
  <si>
    <t>LEVÝ</t>
  </si>
  <si>
    <t>左边</t>
  </si>
  <si>
    <t>LIJEVO</t>
  </si>
  <si>
    <t>GAUCHE</t>
  </si>
  <si>
    <t>左</t>
  </si>
  <si>
    <t>ΑΡΙΣΤΕΡΑ</t>
  </si>
  <si>
    <t>LEFT</t>
  </si>
  <si>
    <t>PA kreisi</t>
  </si>
  <si>
    <t>LEWO</t>
  </si>
  <si>
    <t>ESQUERDA</t>
  </si>
  <si>
    <t>STÂNGA</t>
  </si>
  <si>
    <t>ЛЕВЫЙ</t>
  </si>
  <si>
    <t>LEVO</t>
  </si>
  <si>
    <t>IZQUIERDA</t>
  </si>
  <si>
    <t>VÄNSTER</t>
  </si>
  <si>
    <t>LINKS</t>
  </si>
  <si>
    <t>AYRILDI</t>
  </si>
  <si>
    <t>BAL</t>
  </si>
  <si>
    <t>DIREZIONE PRIMO SDOPPIAMENTO</t>
  </si>
  <si>
    <t>SMĚR PRVNÍHO DĚLENÍ</t>
  </si>
  <si>
    <t>优先分割方向</t>
  </si>
  <si>
    <t>PRAVAC PRVOG DIJELJENJA</t>
  </si>
  <si>
    <t>DIRECTION DU PREMIER FRACTIONNEMENT</t>
  </si>
  <si>
    <t>第一分割ディレクション</t>
  </si>
  <si>
    <t>ΚΑΤΕΥΘΥΝΣΗ ΠΡΟΣ ΠΡΩΤΟ ΔΙΑΧΩΡΙΣΜΟ</t>
  </si>
  <si>
    <t>DIRECTION OF FIRST SPLITTING</t>
  </si>
  <si>
    <t xml:space="preserve">VIRZIENS </t>
  </si>
  <si>
    <t>PIERWSZY SPLIT KIERUNKU</t>
  </si>
  <si>
    <t>DIREÇÃO DA PRIMEIRA DIVISÃO</t>
  </si>
  <si>
    <t>DIRECȚIA PRIMUL SPLIT</t>
  </si>
  <si>
    <t>НАПРАВЛЕНИЕ ПЕРВОЙ РАСКОЛКИ</t>
  </si>
  <si>
    <t>SMER PRVÉHO DELENIA</t>
  </si>
  <si>
    <t>SMER PRVE DELITVE</t>
  </si>
  <si>
    <t>DIRECCIÓN antes de división</t>
  </si>
  <si>
    <t>RIKTNING FÖR FÖRSTA DELNING</t>
  </si>
  <si>
    <t>RICHTUNG DER ERSTEN SPALTUNG</t>
  </si>
  <si>
    <t>İLK AYIRMA YÖNÜ</t>
  </si>
  <si>
    <t>AZ ELSŐ OSZTÁS IRÁNYA</t>
  </si>
  <si>
    <t>PRIMO MODULO REMOVIBILE</t>
  </si>
  <si>
    <t>PRVNÍ VYJÍMATELNÝ MODUL</t>
  </si>
  <si>
    <t>第一个可拆卸模块</t>
  </si>
  <si>
    <t>PRVI MODUL koji se može ukloniti</t>
  </si>
  <si>
    <t>PREMIER MODULE AMOVIBLE</t>
  </si>
  <si>
    <t>最初の取外し可能モジュール</t>
  </si>
  <si>
    <t>ΠΡΩΤΗ ΑΦΑΙΡΟΥΜΕΝΗ ΜΟΝΑΔΑ</t>
  </si>
  <si>
    <t>FIRST REMOVABLE MODULE</t>
  </si>
  <si>
    <t>PIRMAIS NOŅEMAMAIS MODULIS</t>
  </si>
  <si>
    <t>PIERWSZY WYJMOWANY MODUŁ</t>
  </si>
  <si>
    <t>PRIMEIRO MÓDULO REMOVÍVEL</t>
  </si>
  <si>
    <t>PRIMUL MODUL DETASAL</t>
  </si>
  <si>
    <t>ПЕРВЫЙ СЪЕМНЫЙ МОДУЛЬ</t>
  </si>
  <si>
    <t>PRVÝ ODNÍMATEĽNÝ MODUL</t>
  </si>
  <si>
    <t>PRVI ODSTRANLJIV MODUL</t>
  </si>
  <si>
    <t>PRIMER MÓDULO DESMONTABLE</t>
  </si>
  <si>
    <t>FÖRSTA AVTAGNINGSBAR MODUL</t>
  </si>
  <si>
    <t>erstes Modul abnehmbar</t>
  </si>
  <si>
    <t>İLK ÇIKARILABİLİR MODÜL</t>
  </si>
  <si>
    <t>ELSŐ KISZERELHETŐ MODUL</t>
  </si>
  <si>
    <t>TIPO VERSIONE ACCIAIO</t>
  </si>
  <si>
    <t>TYP PROVEDENÍ OCELI</t>
  </si>
  <si>
    <t>型钢版</t>
  </si>
  <si>
    <t>TIP ČELIČNA VERZIJA</t>
  </si>
  <si>
    <t>TYPE VERSION ACIER</t>
  </si>
  <si>
    <t>スティールバージョン</t>
  </si>
  <si>
    <t>ΕΚΔΟΣΗ ΑΠΟ ΑΤΣΑΛΙ</t>
  </si>
  <si>
    <t>TYPE VERSION STEEL</t>
  </si>
  <si>
    <t>TIPA TĒRAUDA VERSIJA</t>
  </si>
  <si>
    <t>TYP WERSJA STALOWA</t>
  </si>
  <si>
    <t>TIPO VERSÃO EM AÇO</t>
  </si>
  <si>
    <t>TIP VERSIUNE STEEL</t>
  </si>
  <si>
    <t>ТИП ВЕРСИЯ СТАЛЬ</t>
  </si>
  <si>
    <t>TYPOVÉ PREVEDENIE OCEL</t>
  </si>
  <si>
    <t>VRSTA VERZIJA JEKLO</t>
  </si>
  <si>
    <t>TIPO VERSIÓN ACERO</t>
  </si>
  <si>
    <t>TYP VERSION STÅL</t>
  </si>
  <si>
    <t>TYPENAUSFÜHRUNG STAHL</t>
  </si>
  <si>
    <t>TİP VERSİYON ÇELİK</t>
  </si>
  <si>
    <t>ACÉL TÍPUSÚ VÁLTOZAT</t>
  </si>
  <si>
    <t>ACCIAIO INOX A2</t>
  </si>
  <si>
    <t>NEREZOVÁ OCEL A2</t>
  </si>
  <si>
    <t>不锈钢 A2</t>
  </si>
  <si>
    <t>INOX A2</t>
  </si>
  <si>
    <t>ACIER INOXYDABLE A2</t>
  </si>
  <si>
    <t>ステンレス鋼A2</t>
  </si>
  <si>
    <t>ΑΝΟΞΕΙΔΩΤΟ Α2</t>
  </si>
  <si>
    <t>STAINLESS STEEL A2</t>
  </si>
  <si>
    <t>NErūsējošais tērauds A2</t>
  </si>
  <si>
    <t>STAL NIERDZEWNA A2</t>
  </si>
  <si>
    <t>AÇO INOX A2</t>
  </si>
  <si>
    <t>OȚEL INOX A2</t>
  </si>
  <si>
    <t>НЕРЖАВЕЮЩАЯ СТАЛЬ A2</t>
  </si>
  <si>
    <t>NEREZ A2</t>
  </si>
  <si>
    <t>NErjaveče jeklo A2</t>
  </si>
  <si>
    <t>ACERO INOXIDABLE A2</t>
  </si>
  <si>
    <t>ROSTFRITT STÅL A2</t>
  </si>
  <si>
    <t>EDELSTAHL A2</t>
  </si>
  <si>
    <t>PASLANMAZ ÇELİK A2</t>
  </si>
  <si>
    <t>ROZSDAMENTES ACÉL A2</t>
  </si>
  <si>
    <t>ACCIAIO INOX A4</t>
  </si>
  <si>
    <t>NEREZOVÁ OCEL A4</t>
  </si>
  <si>
    <t>不锈钢 A4</t>
  </si>
  <si>
    <t>INOX A4</t>
  </si>
  <si>
    <t>ACIER INOXYDABLE A4</t>
  </si>
  <si>
    <t>ステンレス鋼A4</t>
  </si>
  <si>
    <t>ΑΝΟΞΕΙΔΩΤΟ Α4</t>
  </si>
  <si>
    <t>STAINLESS STEEL A4</t>
  </si>
  <si>
    <t>Nerūsējošais Tērauds A4</t>
  </si>
  <si>
    <t>STAL NIERDZEWNA A4</t>
  </si>
  <si>
    <t>AÇO INOX A4</t>
  </si>
  <si>
    <t>OȚEL INOX A4</t>
  </si>
  <si>
    <t>НЕРЖАВЕЮЩАЯ СТАЛЬ А4</t>
  </si>
  <si>
    <t>NEREZ A4</t>
  </si>
  <si>
    <t>ACERO INOXIDABLE A4</t>
  </si>
  <si>
    <t>ROSTFRITT STÅL A4</t>
  </si>
  <si>
    <t>EDELSTAHL A4</t>
  </si>
  <si>
    <t>PASLANMAZ ÇELİK A4</t>
  </si>
  <si>
    <t>ROZSDAMENTES ACÉL A4</t>
  </si>
  <si>
    <t>RIMOVIBILE</t>
  </si>
  <si>
    <t>ODNÍMATELNÝ</t>
  </si>
  <si>
    <t>可拆卸的</t>
  </si>
  <si>
    <t>ZAMJENJIV</t>
  </si>
  <si>
    <t>REMOVABLE</t>
  </si>
  <si>
    <t>取外し可能</t>
  </si>
  <si>
    <t>ΑΦΑΙΡΟΥΜΕΝΟ</t>
  </si>
  <si>
    <t>NOŅEMAMA</t>
  </si>
  <si>
    <t>USUWANY</t>
  </si>
  <si>
    <t>REMOVÍVEL</t>
  </si>
  <si>
    <t>AMOVIBIL</t>
  </si>
  <si>
    <t>СЪЕМНЫЙ</t>
  </si>
  <si>
    <t>ODNÍMATEĽNÝ</t>
  </si>
  <si>
    <t>ODSTRANLJIV</t>
  </si>
  <si>
    <t>desmontable</t>
  </si>
  <si>
    <t>AVTAGBAR</t>
  </si>
  <si>
    <t>ABNEHMBARE</t>
  </si>
  <si>
    <t>ÇIKARILABİLİR</t>
  </si>
  <si>
    <t>KISZERELHETŐ</t>
  </si>
  <si>
    <t>FISSO</t>
  </si>
  <si>
    <t>UPEVNĚNO</t>
  </si>
  <si>
    <t>固定的</t>
  </si>
  <si>
    <t>FIKSNO</t>
  </si>
  <si>
    <t>FIXE</t>
  </si>
  <si>
    <t>固定</t>
  </si>
  <si>
    <t>ΣΤΑΘΕΡΟΣ</t>
  </si>
  <si>
    <t>FIXED</t>
  </si>
  <si>
    <t>NAPRAWIONY</t>
  </si>
  <si>
    <t>FIXO</t>
  </si>
  <si>
    <t>FIX</t>
  </si>
  <si>
    <t>ФИКСИРОВАННЫЙ</t>
  </si>
  <si>
    <t>OPRAVENÉ</t>
  </si>
  <si>
    <t>REPARADO</t>
  </si>
  <si>
    <t>FAST</t>
  </si>
  <si>
    <t>FEST</t>
  </si>
  <si>
    <t>SABİT</t>
  </si>
  <si>
    <t>RÖGZÍTETT</t>
  </si>
  <si>
    <t>INTERMEDIO PASSANTE</t>
  </si>
  <si>
    <t>PŘES PROSTŘEDEK</t>
  </si>
  <si>
    <t>中间贯穿</t>
  </si>
  <si>
    <t>SREDNJE KROZ</t>
  </si>
  <si>
    <t>INTERMÉDIAIRE PAR</t>
  </si>
  <si>
    <t>通貨できる中間</t>
  </si>
  <si>
    <t>ΕΝΔΙΑΜΕΣΟ ΜΕΣΩ</t>
  </si>
  <si>
    <t>INTERMEDIATE THROUGH</t>
  </si>
  <si>
    <t>Vidusspunkts</t>
  </si>
  <si>
    <t>POŚREDNI PRZEZ</t>
  </si>
  <si>
    <t>INTERMÉDIO PASSANTE</t>
  </si>
  <si>
    <t>INTERMEDIAR PRIN</t>
  </si>
  <si>
    <t>ПРОМЕЖУТОЧНЫЙ ЧЕРЕЗ</t>
  </si>
  <si>
    <t>MEDZI PROSTREDNÍCTVOM</t>
  </si>
  <si>
    <t>Vmesno SKOZI</t>
  </si>
  <si>
    <t>INTERMEDIO pasante</t>
  </si>
  <si>
    <t>MELLAN TILL</t>
  </si>
  <si>
    <t>ZWISCHEN DURCH</t>
  </si>
  <si>
    <t>KÖZÉP ÁT</t>
  </si>
  <si>
    <t>ALTEZZA NON SUFFICIENTE</t>
  </si>
  <si>
    <t>VÝŠKA NENÍ DOSTATEČNÁ</t>
  </si>
  <si>
    <t>高度不够</t>
  </si>
  <si>
    <t>NEDOVOLJNA VISINA</t>
  </si>
  <si>
    <t>HAUTEUR INSUFFISANTE</t>
  </si>
  <si>
    <t>十分な高さではない</t>
  </si>
  <si>
    <t>ΑΝΕΠΑΡΚΕΣ ΥΨΟΣ</t>
  </si>
  <si>
    <t>INSUFFICIENT HEIGHT</t>
  </si>
  <si>
    <t>NEPIETIEKAMS AUGSTUMS</t>
  </si>
  <si>
    <t>NIEWYSTARCZAJĄCA WYSOKOŚĆ</t>
  </si>
  <si>
    <t>ALTURA NÃO SUFICIENTE</t>
  </si>
  <si>
    <t>INALTIME NU SUFICIENTA</t>
  </si>
  <si>
    <t>НЕДОСТАТОЧНАЯ ВЫСОТА</t>
  </si>
  <si>
    <t>NEDOSTATOČNÁ VÝŠKA</t>
  </si>
  <si>
    <t>NEDOSTOJNA VIŠINA</t>
  </si>
  <si>
    <t>ALTURA INSUFICIENTE</t>
  </si>
  <si>
    <t>Otillräcklig höjd</t>
  </si>
  <si>
    <t>UNZUREICHENDE HÖHE</t>
  </si>
  <si>
    <t>YETERSİZ YÜKSEKLİK</t>
  </si>
  <si>
    <t>ELÉGTELEN MAGASSÁG</t>
  </si>
  <si>
    <t>DETTAGLI</t>
  </si>
  <si>
    <t>PODROBNOSTI</t>
  </si>
  <si>
    <t>细节</t>
  </si>
  <si>
    <t>DETALJI</t>
  </si>
  <si>
    <t>DÉTAILS</t>
  </si>
  <si>
    <t>詳細</t>
  </si>
  <si>
    <t>ΛΕΠΤΟΜΕΡΙΕΣ</t>
  </si>
  <si>
    <t>DETAILS</t>
  </si>
  <si>
    <t>INFORMĀCIJAS</t>
  </si>
  <si>
    <t>DETALE</t>
  </si>
  <si>
    <t>DETALHES</t>
  </si>
  <si>
    <t>DETALII</t>
  </si>
  <si>
    <t>ДЕТАЛИ</t>
  </si>
  <si>
    <t>DETALLES</t>
  </si>
  <si>
    <t>DETALJER</t>
  </si>
  <si>
    <t>Details</t>
  </si>
  <si>
    <t>DETAYLAR</t>
  </si>
  <si>
    <t>RÉSZLETEK</t>
  </si>
  <si>
    <t>CON PROTEZIONE</t>
  </si>
  <si>
    <t>S OCHRANOU</t>
  </si>
  <si>
    <t>带保护</t>
  </si>
  <si>
    <t>SA ZAŠTITOM</t>
  </si>
  <si>
    <t>AVEC PROTECTION</t>
  </si>
  <si>
    <t>保護付き</t>
  </si>
  <si>
    <t>ΜΕ ΠΡΟΣΤΑΣΙΑ</t>
  </si>
  <si>
    <t>WITH PROTECTION</t>
  </si>
  <si>
    <t>AR AIZSARDZĪBU</t>
  </si>
  <si>
    <t>Z OCHRONĄ</t>
  </si>
  <si>
    <t>COM PROTEÇÃO</t>
  </si>
  <si>
    <t>CU PROTECTIE</t>
  </si>
  <si>
    <t>С ЗАЩИТОЙ</t>
  </si>
  <si>
    <t>Z ZAŠČITO</t>
  </si>
  <si>
    <t>CON PROTECCIÓN</t>
  </si>
  <si>
    <t>MED SKYDD</t>
  </si>
  <si>
    <t>MIT SCHUTZ</t>
  </si>
  <si>
    <t>KORUMA İLE</t>
  </si>
  <si>
    <t>VÉDELEMMEL</t>
  </si>
  <si>
    <t>Attenzione: senza estensione finale</t>
  </si>
  <si>
    <t>Pozor: bez konečného prodloužení</t>
  </si>
  <si>
    <t>注意：没有终端延长件</t>
  </si>
  <si>
    <t>Pažnja: bez završnog proširenja</t>
  </si>
  <si>
    <t>Attention : sans extension finale</t>
  </si>
  <si>
    <t>注意：最終エクステンションなし</t>
  </si>
  <si>
    <t>Προσοχή: χωρίς τελική παράταση</t>
  </si>
  <si>
    <t>Attention: without final extension</t>
  </si>
  <si>
    <t>Uzmanību: bez galīgā pagarinājuma</t>
  </si>
  <si>
    <t>Uwaga: bez końcowego przedłużenia</t>
  </si>
  <si>
    <t>Atenção: sem extensão final</t>
  </si>
  <si>
    <t>Atentie: fara prelungire finala</t>
  </si>
  <si>
    <t>Внимание: без окончательного расширения</t>
  </si>
  <si>
    <t>Pozor: bez konečného predĺženia</t>
  </si>
  <si>
    <t>Pozor: brez končnega podaljšanja</t>
  </si>
  <si>
    <t>Atención: sin extensión final</t>
  </si>
  <si>
    <t>OBS: utan slutlig förlängning</t>
  </si>
  <si>
    <t>Achtung: ohne Endverlängerung</t>
  </si>
  <si>
    <t>Dikkat: son uzatma olmadan</t>
  </si>
  <si>
    <t>Figyelem: végső kiterjesztés nélkül</t>
  </si>
  <si>
    <t>TRATTO FINALE</t>
  </si>
  <si>
    <t>Závěrečná úsek</t>
  </si>
  <si>
    <t>最后一节</t>
  </si>
  <si>
    <t>Završni dio</t>
  </si>
  <si>
    <t>Dernière ligne droite</t>
  </si>
  <si>
    <t>最終セクション</t>
  </si>
  <si>
    <t>Τελικό Τμήμα</t>
  </si>
  <si>
    <t>Final stretch</t>
  </si>
  <si>
    <t>Noslēguma sadaļa</t>
  </si>
  <si>
    <t>Sekcja końcowa</t>
  </si>
  <si>
    <t>Seção Final</t>
  </si>
  <si>
    <t>Secțiunea finală</t>
  </si>
  <si>
    <t>Финальная растяжка</t>
  </si>
  <si>
    <t>Záverečný úsek</t>
  </si>
  <si>
    <t>Končni razteg</t>
  </si>
  <si>
    <t>tramo final</t>
  </si>
  <si>
    <t>Sista sträckan</t>
  </si>
  <si>
    <t>Endstück</t>
  </si>
  <si>
    <t>son esneme</t>
  </si>
  <si>
    <t>Utolsó nyújtás</t>
  </si>
  <si>
    <t>ULTIMO SDOPPIAMENTO</t>
  </si>
  <si>
    <t>Poslední rozdělení</t>
  </si>
  <si>
    <t>最后拆分</t>
  </si>
  <si>
    <t>Posljednje razdvajanje</t>
  </si>
  <si>
    <t>Dernier fractionnement</t>
  </si>
  <si>
    <t>最後の分割</t>
  </si>
  <si>
    <t>Τελευταίος διαχωρισμός</t>
  </si>
  <si>
    <t>Last split</t>
  </si>
  <si>
    <t>Pēdējā sadalīšana</t>
  </si>
  <si>
    <t>Ostatni podział</t>
  </si>
  <si>
    <t>Última divisão</t>
  </si>
  <si>
    <t>Ultima despicare</t>
  </si>
  <si>
    <t>Последний сплит</t>
  </si>
  <si>
    <t>Posledné rozdelenie</t>
  </si>
  <si>
    <t>Zadnji delitev</t>
  </si>
  <si>
    <t>última división</t>
  </si>
  <si>
    <t>Senaste split</t>
  </si>
  <si>
    <t>Letzte Trennung</t>
  </si>
  <si>
    <t>Son bölünme</t>
  </si>
  <si>
    <t>Utolsó felosztás</t>
  </si>
  <si>
    <t>TRATTI INTERMEDI</t>
  </si>
  <si>
    <t>Střední část</t>
  </si>
  <si>
    <t>中间部分</t>
  </si>
  <si>
    <t>Srednji dio</t>
  </si>
  <si>
    <t>Section intermédiaire</t>
  </si>
  <si>
    <t>中級セクション</t>
  </si>
  <si>
    <t>Ενδιάμεσο τμήμα</t>
  </si>
  <si>
    <t>Intermediate Section</t>
  </si>
  <si>
    <t>Starpposma sadaļa</t>
  </si>
  <si>
    <t>Sekcja środkowa</t>
  </si>
  <si>
    <t>Seção intermediária</t>
  </si>
  <si>
    <t>Sectiunea intermediara</t>
  </si>
  <si>
    <t>Промежуточная секция</t>
  </si>
  <si>
    <t>Stredná sekcia</t>
  </si>
  <si>
    <t>Vmesni odsek</t>
  </si>
  <si>
    <t>Tramo Intermedio</t>
  </si>
  <si>
    <t>Mellansektion</t>
  </si>
  <si>
    <t>Zwischenabschnitt</t>
  </si>
  <si>
    <t>Ara Bölüm</t>
  </si>
  <si>
    <t>Köztes szakasz</t>
  </si>
  <si>
    <t>SDOPPIAMENTI INTERMEDI</t>
  </si>
  <si>
    <t>Mezilehlé rozdělení</t>
  </si>
  <si>
    <t>中间拆分</t>
  </si>
  <si>
    <t>Srednje dijeljenje</t>
  </si>
  <si>
    <t>Fractionnement intermédiaire</t>
  </si>
  <si>
    <t>中間分割</t>
  </si>
  <si>
    <t>Ενδιάμεσοι διαχωριστες</t>
  </si>
  <si>
    <t>Intermediate splitting</t>
  </si>
  <si>
    <t>Starpposma sadalīšanās</t>
  </si>
  <si>
    <t>Pośrednie podziały</t>
  </si>
  <si>
    <t>Divisões intermediárias</t>
  </si>
  <si>
    <t>Despărțiri intermediare</t>
  </si>
  <si>
    <t>Промежуточное расщепление</t>
  </si>
  <si>
    <t>Stredné delenie</t>
  </si>
  <si>
    <t>Vmesna cepitev</t>
  </si>
  <si>
    <t>división intermedia</t>
  </si>
  <si>
    <t>Mellansplittring</t>
  </si>
  <si>
    <t>Zwischenspaltung</t>
  </si>
  <si>
    <t>ara bölme</t>
  </si>
  <si>
    <t>Köztes osztás</t>
  </si>
  <si>
    <t>TRATTO INIZIALE</t>
  </si>
  <si>
    <t>Úvodní část</t>
  </si>
  <si>
    <t>起始段</t>
  </si>
  <si>
    <t>Početna sekcija</t>
  </si>
  <si>
    <t>Section initiale</t>
  </si>
  <si>
    <t>初期ストレッチ</t>
  </si>
  <si>
    <t>Αρχικό τέντωμα</t>
  </si>
  <si>
    <t>Initial section</t>
  </si>
  <si>
    <t>sākotnējā sadaļa</t>
  </si>
  <si>
    <t>Rozciąganie początkowe</t>
  </si>
  <si>
    <t>Alongamento inicial</t>
  </si>
  <si>
    <t>Întindere inițială</t>
  </si>
  <si>
    <t>Начальный раздел</t>
  </si>
  <si>
    <t>Úvodná sekcia</t>
  </si>
  <si>
    <t>Začetni odsek</t>
  </si>
  <si>
    <t>Tramo inicial</t>
  </si>
  <si>
    <t>Inledande avsnitt</t>
  </si>
  <si>
    <t>Anfangsabschnitt</t>
  </si>
  <si>
    <t>İlk bölüm</t>
  </si>
  <si>
    <t>Kezdeti szakasz</t>
  </si>
  <si>
    <t>Opzione Base</t>
  </si>
  <si>
    <t>Volitelná základna</t>
  </si>
  <si>
    <t>基本选项</t>
  </si>
  <si>
    <t>Osnovna opcija</t>
  </si>
  <si>
    <t>Option de base</t>
  </si>
  <si>
    <t>基本オプション</t>
  </si>
  <si>
    <t>Βασική επιλογή</t>
  </si>
  <si>
    <t>Pamata variants</t>
  </si>
  <si>
    <t>Opcja podstawowa</t>
  </si>
  <si>
    <t>Opção básica</t>
  </si>
  <si>
    <t>Opțiune de bază</t>
  </si>
  <si>
    <t>Базовый вариант</t>
  </si>
  <si>
    <t>Základná možnosť</t>
  </si>
  <si>
    <t>Možnost osnove</t>
  </si>
  <si>
    <t>Opción de base</t>
  </si>
  <si>
    <t>Auswahl der Grundpatte</t>
  </si>
  <si>
    <t>Temel seçenek</t>
  </si>
  <si>
    <t>Alap opció</t>
  </si>
  <si>
    <t>ALTEZZA DA PIANO DI SBARCO</t>
  </si>
  <si>
    <t>Výška od země</t>
  </si>
  <si>
    <t>着陆高度</t>
  </si>
  <si>
    <t>Visina podesta</t>
  </si>
  <si>
    <t>Hauteur d'atterrissage</t>
  </si>
  <si>
    <t>着陸高さ</t>
  </si>
  <si>
    <t>Ύψος προσγείωσης</t>
  </si>
  <si>
    <t>Landing Height</t>
  </si>
  <si>
    <t>Nosēšanās augstums</t>
  </si>
  <si>
    <t>Wysokość lądowania</t>
  </si>
  <si>
    <t>Altura de aterragem</t>
  </si>
  <si>
    <t>Înălțimea de aterizare</t>
  </si>
  <si>
    <t>Высота посадки</t>
  </si>
  <si>
    <t>Výška pristátia</t>
  </si>
  <si>
    <t>Višina pristanka</t>
  </si>
  <si>
    <t>Altura de desenbarque</t>
  </si>
  <si>
    <t>Landningshöjd</t>
  </si>
  <si>
    <t>Landehöhe</t>
  </si>
  <si>
    <t>İniş Yüksekliği</t>
  </si>
  <si>
    <t>Érkezési magasság</t>
  </si>
  <si>
    <t>Dati Progetto Insufficienti!!!</t>
  </si>
  <si>
    <t>Údaje o projektu Nedostatečné!!!</t>
  </si>
  <si>
    <t>项目资料不足！！！</t>
  </si>
  <si>
    <t>Nedovoljni podaci u projektu !!!</t>
  </si>
  <si>
    <t>Données de projet insuffisantes !!!</t>
  </si>
  <si>
    <t>不十分なプロジェクトデータ!!!</t>
  </si>
  <si>
    <t>Ανεπαρκή δεδομένα έργου !!!</t>
  </si>
  <si>
    <t>Insufficient Project Data!!!</t>
  </si>
  <si>
    <t>Nepietiekami projekta dati !!!</t>
  </si>
  <si>
    <t>Niewystarczające dane projektu !!!</t>
  </si>
  <si>
    <t>Dados de projeto insuficientes !!!</t>
  </si>
  <si>
    <t>Date insuficiente ale proiectului!!!</t>
  </si>
  <si>
    <t>Недостаточно данных проекта!!!</t>
  </si>
  <si>
    <t>Nedostatočné údaje o projekte!!!</t>
  </si>
  <si>
    <t>Nezadostni podatki o projektu !!!</t>
  </si>
  <si>
    <t>Datos de proyecto insuficientes !!!</t>
  </si>
  <si>
    <t>Otillräckliga projektdata !!!</t>
  </si>
  <si>
    <t>Unzureichende Projektdaten !!!</t>
  </si>
  <si>
    <t>Yetersiz Proje Verisi !!!</t>
  </si>
  <si>
    <t>Nincs elegendő projektadat!!!</t>
  </si>
  <si>
    <t>Spessore Isolamento</t>
  </si>
  <si>
    <t>Tloušťka izolace</t>
  </si>
  <si>
    <t>保温厚度</t>
  </si>
  <si>
    <t>Debljina izolacije</t>
  </si>
  <si>
    <t>Épaisseur Isolation</t>
  </si>
  <si>
    <t>断熱材の厚さ</t>
  </si>
  <si>
    <t>Πάχος μόνωσης</t>
  </si>
  <si>
    <t>Thickness of Insulation</t>
  </si>
  <si>
    <t>Izolācijas biezums</t>
  </si>
  <si>
    <t>Grubość izolacji</t>
  </si>
  <si>
    <t>Espessura do isolamento</t>
  </si>
  <si>
    <t>Grosimea izolației</t>
  </si>
  <si>
    <t>Толщина изоляции</t>
  </si>
  <si>
    <t>Hrúbka izolácie</t>
  </si>
  <si>
    <t>Debelina izolacije</t>
  </si>
  <si>
    <t>Espesor del aislamiento</t>
  </si>
  <si>
    <t>Tjocklek på isolering</t>
  </si>
  <si>
    <t>Dicke der Isolierung</t>
  </si>
  <si>
    <t>Yalıtım Kalınlığı</t>
  </si>
  <si>
    <t>Szigetelés vastagsága</t>
  </si>
  <si>
    <t>CANCELLA TUTTO</t>
  </si>
  <si>
    <t>VŠE SMAZAT</t>
  </si>
  <si>
    <t>删除全部</t>
  </si>
  <si>
    <t>IZBRIŠI SVE</t>
  </si>
  <si>
    <t>SUPPRIMER TOUT</t>
  </si>
  <si>
    <t>すべてを消去する</t>
  </si>
  <si>
    <t>ΣΒΗΣΤΕ ΤΑ ΠΑΝΤΑ</t>
  </si>
  <si>
    <t>DELETE ALL</t>
  </si>
  <si>
    <t>DZĒST VISU</t>
  </si>
  <si>
    <t>WYMAZAC WSZYSTKO</t>
  </si>
  <si>
    <t>APAGUE TUDO</t>
  </si>
  <si>
    <t>ȘTERGE TOTUL</t>
  </si>
  <si>
    <t>УДАЛИТЬ ВСЕ</t>
  </si>
  <si>
    <t>VYMAZAŤ VŠETKO</t>
  </si>
  <si>
    <t>IZBRIŠI VSE</t>
  </si>
  <si>
    <t>ELIMINAR TODO</t>
  </si>
  <si>
    <t>RADERA ALLT</t>
  </si>
  <si>
    <t>ALLES LÖSCHEN</t>
  </si>
  <si>
    <t>HEPSİNİ SİL</t>
  </si>
  <si>
    <t>MINDET TÖRÖLNI</t>
  </si>
  <si>
    <t>LA VALUTA DELLA FATTURA E' IN</t>
  </si>
  <si>
    <t>MĚNA FAKTURY JE V</t>
  </si>
  <si>
    <t>发票的货币为</t>
  </si>
  <si>
    <t>VALUTA FAKTURE JE u</t>
  </si>
  <si>
    <t>LA DEVISE DE LA FACTURE EST EN</t>
  </si>
  <si>
    <t>請求書の通貨は</t>
  </si>
  <si>
    <t>ΤΟ ΝΟΜΙΣΜΑ ΤΟΥ ΤΙΜΟΛΟΓΙΟΥ ΕΙΝΑΙ ΣΕ</t>
  </si>
  <si>
    <t>INVOICE CURRENCY IS IN</t>
  </si>
  <si>
    <t>RĒĶINA VALŪTA IR Ievadīta</t>
  </si>
  <si>
    <t>WALUTA FAKTURY JEST W</t>
  </si>
  <si>
    <t>A MOEDA DA FATURA ESTÁ EM</t>
  </si>
  <si>
    <t>MONEDA FACTURII ESTE IN</t>
  </si>
  <si>
    <t>ВАЛЮТА СЧЕТА В</t>
  </si>
  <si>
    <t>MENA FAKTÚRY JE IN</t>
  </si>
  <si>
    <t>VALUTA RAČUNA JE V</t>
  </si>
  <si>
    <t>LA MONEDA DE LA FACTURA ES EN</t>
  </si>
  <si>
    <t>FAKTURA VALUTA ÄR I</t>
  </si>
  <si>
    <t>RECHNUNGSWÄHRUNG IST IN</t>
  </si>
  <si>
    <t>FATURA PARA BİRİMİ VAR</t>
  </si>
  <si>
    <t>A SZÁMLA PÉNZNEME</t>
  </si>
  <si>
    <t>LA VALUTA LOCALE E' SOLO INDICATIVA</t>
  </si>
  <si>
    <t>MÍSTNÍ MĚNA JE POUZE ORIENTAČNÍ</t>
  </si>
  <si>
    <t>当地货币仅供参考</t>
  </si>
  <si>
    <t>LOKALNA VALUTA JE SAMO INDIKATIVNA</t>
  </si>
  <si>
    <t>MONNAIE LOCALE À TITRE INDICATIF</t>
  </si>
  <si>
    <t>現地通貨は指標のみです</t>
  </si>
  <si>
    <t>ΤΟ ΤΟΠΙΚΟ ΝΟΜΙΣΜΑ ΕΙΝΑΙ ΜΟΝΟ ΕΝΔΕΙΚΤΙΚΟ</t>
  </si>
  <si>
    <t>LOCAL CURRENCY IS INDICATIVE ONLY</t>
  </si>
  <si>
    <t>VIETĒJĀ VALŪTA IR TIKAI INDIKATĪVA</t>
  </si>
  <si>
    <t>WALUTA LOKALNA JEST WYŁĄCZNIE ORIENTACYJNA</t>
  </si>
  <si>
    <t>A MOEDA LOCAL É APENAS INDICATIVO</t>
  </si>
  <si>
    <t>MONEDA LOCALĂ ESTE NUMAI INDICATIVA</t>
  </si>
  <si>
    <t>МЕСТНАЯ ВАЛЮТА УКАЗАНА ТОЛЬКО ПРИМЕРНО</t>
  </si>
  <si>
    <t>MIESTNA MENA JE LEN ORIENTAČNÁ</t>
  </si>
  <si>
    <t>LOKALNA VALUTA JE SAMO OKVIRNA</t>
  </si>
  <si>
    <t>LA MONEDA LOCAL ES SÓLO INDICATIVA</t>
  </si>
  <si>
    <t>LOKAL VALUTA ÄR ENDAST VÄGLEDANDE</t>
  </si>
  <si>
    <t>DIE LOKALE WÄHRUNG IST NUR INDIKATIV</t>
  </si>
  <si>
    <t>YEREL PARA BİRİMİ YALNIZCA GÖSTERGEDİR</t>
  </si>
  <si>
    <t>A HELYI PÉNZNEM CSAK INDIKATÍV</t>
  </si>
  <si>
    <t>SISTEMI ANTICADUTA</t>
  </si>
  <si>
    <t>SYSTÉMY ZACHYCENÍ PÁDU</t>
  </si>
  <si>
    <t>防坠落系统</t>
  </si>
  <si>
    <t>SUSTAVI ZA ZAŠTITU OD PADA</t>
  </si>
  <si>
    <t>SYSTÈMES ANTICHUTE</t>
  </si>
  <si>
    <t>落下保護システム</t>
  </si>
  <si>
    <t>ΣΥΣΤΗΜΑΤΑ ΠΡΟΣΤΑΣΙΑΣ ΠΤΩΣΗΣ</t>
  </si>
  <si>
    <t>FALL ARREST SYSTEMS</t>
  </si>
  <si>
    <t>Pretkritiena SISTĒMAS</t>
  </si>
  <si>
    <t>SYSTEMY OCHRONY PRZED UPADKIEM</t>
  </si>
  <si>
    <t>SISTEMAS DE PROTEÇÃO ANTI-QUEDA</t>
  </si>
  <si>
    <t>SISTEME DE PROTECȚIE LA CADERE</t>
  </si>
  <si>
    <t>СИСТЕМЫ ЗАЩИТЫ ОТ ПАДЕНИЯ</t>
  </si>
  <si>
    <t>SYSTÉMY ZASTAVENIA PÁDU</t>
  </si>
  <si>
    <t>SISTEMI ZA ZAPOR</t>
  </si>
  <si>
    <t>SISTEMAS anticaída</t>
  </si>
  <si>
    <t>FALLARRETSSYSTEM</t>
  </si>
  <si>
    <t>ABSTURZSICHERUNGSSYSTEME</t>
  </si>
  <si>
    <t>DÜŞME TUTMA SİSTEMLERİ</t>
  </si>
  <si>
    <t>Leesésgátló RENDSZEREK</t>
  </si>
  <si>
    <t>LINEE VITA E SISTEMA BINARIO</t>
  </si>
  <si>
    <t>LANKOVÉ A KOLEJNICOVÉ SYSTÉMY</t>
  </si>
  <si>
    <t>生命线和轨道系统</t>
  </si>
  <si>
    <t>LINIJE ŽIVOTA I SUSTAV TRAČNICA</t>
  </si>
  <si>
    <t>LES LIGNES DE VIE ET LES SYSTÈMES FERROVIAIRES</t>
  </si>
  <si>
    <t>ライフラインとバイナリシステム</t>
  </si>
  <si>
    <t>ΓΡΑΜΜΕΣ ΖΩΗΣ ΚΑΙ ΣΥΣΤΗΜΑΤΑ RAIL</t>
  </si>
  <si>
    <t>LIFELINES AND RAIL SYSTEMS</t>
  </si>
  <si>
    <t>Drošības  LĪNIJAS UN sliežu SISTĒMA</t>
  </si>
  <si>
    <t>LINIE ŻYCIA I SYSTEM BINARNY</t>
  </si>
  <si>
    <t>LINHAS DE VIDA E SISTEMA BINÁRIO</t>
  </si>
  <si>
    <t>LINII DE VIAȚĂ ȘI SISTEM BINAR</t>
  </si>
  <si>
    <t>СПАСАТЕЛЬНЫЕ ЛИНИИ И ЖЕЛЕЗНОДОРОЖНЫЕ СИСТЕМЫ</t>
  </si>
  <si>
    <t>ŽIVOTNÉ VEDENIA A KOĽAJNICOVÉ SYSTÉMY</t>
  </si>
  <si>
    <t>LIFELINES IN ŽELEZNIŠKI SISTEMI</t>
  </si>
  <si>
    <t>LÍNEAS DE VIDA Y sitema binariro</t>
  </si>
  <si>
    <t>LIVSLINJER OCH JÄRNVÄNDSSYSTEM</t>
  </si>
  <si>
    <t>LEBENSLINIEN UND SCHIENENSYSTEME</t>
  </si>
  <si>
    <t>YAŞAM HATLARI VE RAYLI SİSTEMLER</t>
  </si>
  <si>
    <t>KÁBELES ÉS SÍNES RENDSZEREK</t>
  </si>
  <si>
    <t xml:space="preserve">JEDNOTLIVÉ BODY </t>
  </si>
  <si>
    <t>单锚点</t>
  </si>
  <si>
    <t xml:space="preserve">POJEDINAČNE TOČKE </t>
  </si>
  <si>
    <t xml:space="preserve">POINTS SIMPLES </t>
  </si>
  <si>
    <t>シングルポイント</t>
  </si>
  <si>
    <t>MΟΝΑ ΣΗΜΕΙΑ ΑΓΚΥΡΩΣΗΣ</t>
  </si>
  <si>
    <t xml:space="preserve">SINGLE POINTS </t>
  </si>
  <si>
    <t>ATSEVIŠĶI PUNKTI</t>
  </si>
  <si>
    <t>POJEDYNCZE PUNKTY</t>
  </si>
  <si>
    <t>PONTOS DE ANCORAMENTO</t>
  </si>
  <si>
    <t>PUNCTE SINGLE</t>
  </si>
  <si>
    <t>ОТДЕЛЬНЫЕ ПУНКТЫ</t>
  </si>
  <si>
    <t>JEDINÉ BODY</t>
  </si>
  <si>
    <t>POSAMEZNE TOČKE</t>
  </si>
  <si>
    <t>PUNTOS únicos</t>
  </si>
  <si>
    <t>ENKLA POÄNG</t>
  </si>
  <si>
    <t>TEK PUAN</t>
  </si>
  <si>
    <t>EGYSZERŰ KIKÖTÉSI PONT</t>
  </si>
  <si>
    <t>SUPPORTI E ACCESSORI</t>
  </si>
  <si>
    <t>DRŽÁKY A PŘÍSLUŠENSTVÍ</t>
  </si>
  <si>
    <t>支架和配件</t>
  </si>
  <si>
    <t>NOSAČI I DODATNA OPREMA</t>
  </si>
  <si>
    <t>SUPPORTS ET ACCESSOIRES</t>
  </si>
  <si>
    <t>サポートとアクセサリー</t>
  </si>
  <si>
    <t>ΣΤΗΡΙΞΕΙΣ ΚΑΙ ΑΞΕΣΟΥΑΡ</t>
  </si>
  <si>
    <t>BRACKETS AND ACCESSORIES</t>
  </si>
  <si>
    <t>BALSTI UN PIEDERUMI</t>
  </si>
  <si>
    <t>WSPORNIKI I AKCESORIA</t>
  </si>
  <si>
    <t>SUPORTES E ACESSÓRIOS</t>
  </si>
  <si>
    <t>SUPORTURI SI ACCESORII</t>
  </si>
  <si>
    <t>КРОНШТЕЙНЫ И ПРИНАДЛЕЖНОСТИ</t>
  </si>
  <si>
    <t>KONZOLY A PRÍSLUŠENSTVO</t>
  </si>
  <si>
    <t>NOSILA IN DODATKI</t>
  </si>
  <si>
    <t>SOPORTES Y ACCESORIOS</t>
  </si>
  <si>
    <t>FÄSTEN OCH TILLBEHÖR</t>
  </si>
  <si>
    <t>HALTERUNGEN UND ZUBEHÖR</t>
  </si>
  <si>
    <t>BRAKETLER VE AKSESUARLAR</t>
  </si>
  <si>
    <t>TARTOZÉKOK ÉS FELFOGATÓK</t>
  </si>
  <si>
    <t>Singolo articolo</t>
  </si>
  <si>
    <t>Jednotlivá položka</t>
  </si>
  <si>
    <t>单篇</t>
  </si>
  <si>
    <t>Jedan artikl</t>
  </si>
  <si>
    <t>Article unique</t>
  </si>
  <si>
    <t>単一の記事</t>
  </si>
  <si>
    <t>ΜΟΝΟ ΠΡΟΙΟΝ</t>
  </si>
  <si>
    <t>Single article</t>
  </si>
  <si>
    <t>Viens raksts</t>
  </si>
  <si>
    <t>Pojedynczy artykuł</t>
  </si>
  <si>
    <t>Artigo único</t>
  </si>
  <si>
    <t>Un singur articol</t>
  </si>
  <si>
    <t>Отдельная статья</t>
  </si>
  <si>
    <t>Jediný článok</t>
  </si>
  <si>
    <t>En sam članek</t>
  </si>
  <si>
    <t>Articulo úNICO</t>
  </si>
  <si>
    <t>Enstaka artikel</t>
  </si>
  <si>
    <t>Einzelner Artikel</t>
  </si>
  <si>
    <t>Tek makale</t>
  </si>
  <si>
    <t>Egy darab</t>
  </si>
  <si>
    <t>Gruppo prodotto</t>
  </si>
  <si>
    <t>Skupina výrobků</t>
  </si>
  <si>
    <t>产品组</t>
  </si>
  <si>
    <t>Grupa proizvoda</t>
  </si>
  <si>
    <t>Groupe de produits</t>
  </si>
  <si>
    <t>製品グループ</t>
  </si>
  <si>
    <t>Ομάδα προϊόντων</t>
  </si>
  <si>
    <t>Product group</t>
  </si>
  <si>
    <t>Produktu grupa</t>
  </si>
  <si>
    <t>Grupa produktów</t>
  </si>
  <si>
    <t>Grupo de produtos</t>
  </si>
  <si>
    <t>Grup de produse</t>
  </si>
  <si>
    <t>Группа товаров</t>
  </si>
  <si>
    <t>Skupina produktov</t>
  </si>
  <si>
    <t>Skupina izdelkov</t>
  </si>
  <si>
    <t>Grupo de productos</t>
  </si>
  <si>
    <t>Produktgrupp</t>
  </si>
  <si>
    <t>Produktgruppe</t>
  </si>
  <si>
    <t>Ürün grubu</t>
  </si>
  <si>
    <t>Termékcsoport</t>
  </si>
  <si>
    <t>Condizioni di pagamento</t>
  </si>
  <si>
    <t>Platební podmínky</t>
  </si>
  <si>
    <t>付款条件</t>
  </si>
  <si>
    <t>Uvijeti plaćanja</t>
  </si>
  <si>
    <t>Conditions de paiement</t>
  </si>
  <si>
    <t>支払条件</t>
  </si>
  <si>
    <t>Οροι πληρωμής</t>
  </si>
  <si>
    <t>Payment conditions</t>
  </si>
  <si>
    <t>Maksājuma nosacījumi</t>
  </si>
  <si>
    <t>Warunki płatności</t>
  </si>
  <si>
    <t>Termos de pagamento</t>
  </si>
  <si>
    <t>Termeni de plata</t>
  </si>
  <si>
    <t>Условия оплаты</t>
  </si>
  <si>
    <t>Platobné podmienky</t>
  </si>
  <si>
    <t>Pogoji plačila</t>
  </si>
  <si>
    <t>Condiciones de pago</t>
  </si>
  <si>
    <t>Villkor för betalning</t>
  </si>
  <si>
    <t>Zahlungsbedingungen</t>
  </si>
  <si>
    <t>Ödeme koşulları</t>
  </si>
  <si>
    <t>Firma TS</t>
  </si>
  <si>
    <t>Podpis TS</t>
  </si>
  <si>
    <t>技术销售签名</t>
  </si>
  <si>
    <t>TS potpis</t>
  </si>
  <si>
    <t>Signature TS</t>
  </si>
  <si>
    <t>TS署名</t>
  </si>
  <si>
    <t>Υπογραφή TS</t>
  </si>
  <si>
    <t>TS signature</t>
  </si>
  <si>
    <t>TS paraksts</t>
  </si>
  <si>
    <t>Assinatura TS</t>
  </si>
  <si>
    <t>Semnătura TS</t>
  </si>
  <si>
    <t>подпись ТС</t>
  </si>
  <si>
    <t>podpis TS</t>
  </si>
  <si>
    <t>TS podpis</t>
  </si>
  <si>
    <t>firma TS</t>
  </si>
  <si>
    <t>TS signatur</t>
  </si>
  <si>
    <t>Unterschrift des Mitarbeiters</t>
  </si>
  <si>
    <t>TS imzası</t>
  </si>
  <si>
    <t>TS aláírás</t>
  </si>
  <si>
    <t>Firma ASM</t>
  </si>
  <si>
    <t>Podpis ASM</t>
  </si>
  <si>
    <t>区域经理签名</t>
  </si>
  <si>
    <t>ASM potpis</t>
  </si>
  <si>
    <t>Signature ASM</t>
  </si>
  <si>
    <t>ASM署名</t>
  </si>
  <si>
    <t>Υπογραφή ASM</t>
  </si>
  <si>
    <t>ASM signature</t>
  </si>
  <si>
    <t>ASM paraksts</t>
  </si>
  <si>
    <t>Assinatura ASM</t>
  </si>
  <si>
    <t>Semnătura ASM</t>
  </si>
  <si>
    <t>подпись ASM</t>
  </si>
  <si>
    <t>podpis ASM</t>
  </si>
  <si>
    <t>ASM podpis</t>
  </si>
  <si>
    <t>firma ASM</t>
  </si>
  <si>
    <t>ASM signatur</t>
  </si>
  <si>
    <t>ASM-Signatur</t>
  </si>
  <si>
    <t>ASM imzası</t>
  </si>
  <si>
    <t>ASM aláírás</t>
  </si>
  <si>
    <t>Firma Cliente</t>
  </si>
  <si>
    <t>Podpis zákazníka</t>
  </si>
  <si>
    <t>客户签名</t>
  </si>
  <si>
    <t>Potpis klijenta</t>
  </si>
  <si>
    <t>Signature du client</t>
  </si>
  <si>
    <t>お客様の署名</t>
  </si>
  <si>
    <t>Υπογραφή πελάτη</t>
  </si>
  <si>
    <t>Customer Signature</t>
  </si>
  <si>
    <t>Klienta paraksts</t>
  </si>
  <si>
    <t>Podpis klienta</t>
  </si>
  <si>
    <t>Assinatura do cliente</t>
  </si>
  <si>
    <t>Semnătura clientului</t>
  </si>
  <si>
    <t>Подпись покупателя</t>
  </si>
  <si>
    <t>Podpis stranke</t>
  </si>
  <si>
    <t>Firma del cliente</t>
  </si>
  <si>
    <t>Kundsignatur</t>
  </si>
  <si>
    <t>Unterschrift des Kunden</t>
  </si>
  <si>
    <t>Müşteri imzası</t>
  </si>
  <si>
    <t>Ügyfél aláírása</t>
  </si>
  <si>
    <t>Compila il campo nel foglio CRM</t>
  </si>
  <si>
    <t>Vyplňte pole v listu CRM</t>
  </si>
  <si>
    <t>填写 CRM 表中的字段</t>
  </si>
  <si>
    <t>Popunite polje u CRM listu</t>
  </si>
  <si>
    <t>Remplissez le champ dans la feuille CRM</t>
  </si>
  <si>
    <t>CRMシートのフィールドに入力します</t>
  </si>
  <si>
    <t>Συμπληρώστε το πεδίο στο φύλλο CRM</t>
  </si>
  <si>
    <t>Fill in the field in the CRM sheet</t>
  </si>
  <si>
    <t>Aizpildiet CRM lapas lauku</t>
  </si>
  <si>
    <t>Wypełnij pole w arkuszu CRM</t>
  </si>
  <si>
    <t>Preencha o campo na folha CRM</t>
  </si>
  <si>
    <t>Completați câmpul din foaia CRM</t>
  </si>
  <si>
    <t>Заполните поле в CRM-листе</t>
  </si>
  <si>
    <t>Vyplňte pole v hárku CRM</t>
  </si>
  <si>
    <t>Izpolnite polje v CRM listu</t>
  </si>
  <si>
    <t>Complete el campo en la hoja de CRM</t>
  </si>
  <si>
    <t>Fyll i fältet i CRM-bladet</t>
  </si>
  <si>
    <t>Füllen Sie das Feld im CRM aus</t>
  </si>
  <si>
    <t>CRM sayfasındaki alanı doldurun</t>
  </si>
  <si>
    <t>Töltse ki a mezőt a CRM lapon</t>
  </si>
  <si>
    <t>pričvršćivanje</t>
  </si>
  <si>
    <t>固定具</t>
  </si>
  <si>
    <t>FIXARE</t>
  </si>
  <si>
    <t>Upevnenia</t>
  </si>
  <si>
    <t>PRITRDILA</t>
  </si>
  <si>
    <t>BEFESTIGUNGEN</t>
  </si>
  <si>
    <t>KÖTŐELEMEK</t>
  </si>
  <si>
    <t>SISTEMI DI FISSAGGIO</t>
  </si>
  <si>
    <t>固定系统</t>
  </si>
  <si>
    <t>SUSTAVI ZA PRIČVRŠĆIVANJE</t>
  </si>
  <si>
    <t>SYSTEMES DE FIXATION</t>
  </si>
  <si>
    <t>固定システム</t>
  </si>
  <si>
    <t>FIXING SYSTEMS</t>
  </si>
  <si>
    <t>Stiprinājumu SISTĒMAS</t>
  </si>
  <si>
    <t>SYSTEMY MOCOWANIA</t>
  </si>
  <si>
    <t>КРЕПЕЖНЫЕ СИСТЕМЫ</t>
  </si>
  <si>
    <t>FIKSNI SISTEMI</t>
  </si>
  <si>
    <t>FÄSTSYSTEM</t>
  </si>
  <si>
    <t>SABİTLEME SİSTEMLERİ</t>
  </si>
  <si>
    <t>TENUTA ALL'ARIA E IMPERMEABILIZZAZIONE</t>
  </si>
  <si>
    <t>VZDUCHOTĚSNOST A VODOTĚSNOST</t>
  </si>
  <si>
    <t>气密性和防水性</t>
  </si>
  <si>
    <t>ZRAKOTIJESNOST I HIDROIZOLACIJA</t>
  </si>
  <si>
    <t>ÉTANCHÉITÉ À L'AIR ET À L'EAU</t>
  </si>
  <si>
    <t>気密性と防水性</t>
  </si>
  <si>
    <t>ΣΤΕΓΑΝΟΤΗΤΑ ΚΑΙ ΣΤΕΓΑΝΩΣΗ</t>
  </si>
  <si>
    <t>AIRTIGHTNESS AND WATERPROOFING</t>
  </si>
  <si>
    <t xml:space="preserve"> HIDROIZOLCIJA un blīvums</t>
  </si>
  <si>
    <t>SZCZELNOŚĆ I WODOODPORNOŚĆ</t>
  </si>
  <si>
    <t>ESTANQUIDADE AO AR E IMPERMEABILIZAÇÃO</t>
  </si>
  <si>
    <t>ETANCHEITATEA ȘI IMPERMEABILIZARE</t>
  </si>
  <si>
    <t>ГЕРМЕТИЧНОСТЬ И ГИДРОИЗОЛЯЦИЯ</t>
  </si>
  <si>
    <t>VZDUCHOTESNOSŤ A HYDROIZOLÁCIA</t>
  </si>
  <si>
    <t>ZRAKOTESNOST IN HITROTESNOST</t>
  </si>
  <si>
    <t>ESTANQUEIDAD E IMPERMEABILIDAD</t>
  </si>
  <si>
    <t>LUFTTÄTHET OCH VATTENTÄTNING</t>
  </si>
  <si>
    <t>LUFTDICHTIGKEIT UND BAUABDICHTUNG</t>
  </si>
  <si>
    <t>HAVA GEÇİRMEZLİK VE SU YALITIM</t>
  </si>
  <si>
    <t>LÉGZÁRSÁG ÉS VÍZSZIGETELÉS</t>
  </si>
  <si>
    <t>MEMBRANE E FRENI AL VAPORE, NASTRI, ACCESSORI</t>
  </si>
  <si>
    <t>PAROZÁBRAMY, MEMBRÁNY A PAROBRZDY, PÁSKY, PŘÍSLUŠENSTVÍ</t>
  </si>
  <si>
    <t>隔气膜，胶带和配件</t>
  </si>
  <si>
    <t>PARNE BRANE, TRAKE, PRIBOR</t>
  </si>
  <si>
    <t>MEMBRANES PAR VAPEUR ET FREINS, RUBANS, ACCESSOIRES</t>
  </si>
  <si>
    <t>蒸気膜とブレーキ、テープ、アクセサリー</t>
  </si>
  <si>
    <t>ΦΡΕΝΑ ΥΔΡΑΤΜΩΝ ΚΑΙ ΦΡΑΓΜΟΙ</t>
  </si>
  <si>
    <t>VAPOR MEMBRANES AND BARRIERS, TAPES, ACCESSORIES</t>
  </si>
  <si>
    <t>TVAIKA MEMBRANAS UN barjeras, LENTES, PIEDERUMI</t>
  </si>
  <si>
    <t>MEMBRANY I HAMULCE PAROWE, TAŚMY, AKCESORIA</t>
  </si>
  <si>
    <t>MEMBRANAS DE CONTROLO DE VAPOR, FITAS, ACESSÓRIOS</t>
  </si>
  <si>
    <t>MEMBRANE DE VAPORI SI FRANE, BANDI, ACCESORII</t>
  </si>
  <si>
    <t>ПАРОМЕМБРАНЫ И БАРЬЕРЫ, ЛЕНТЫ, ПРИНАДЛЕЖНОСТИ</t>
  </si>
  <si>
    <t>PARNÉ MEMBRÁNY A BARIÉRY, PÁSKY, PRÍSLUŠENSTVO</t>
  </si>
  <si>
    <t>PARNE MEMBRANE IN PREGRADE, TRAKOVI, DODATNA OPREMA</t>
  </si>
  <si>
    <t>MEMBRANAS Y BARRERAS DE VAPOR, CINTAS, ACCESORIOS</t>
  </si>
  <si>
    <t>ÅNGMEMBRANER OCH BARRIÄRER, TEJP, TILLBEHÖR</t>
  </si>
  <si>
    <t>DAMPFBREMSEN UND -SPERREN, KLEBEBÄNDER, ZUBEHÖR</t>
  </si>
  <si>
    <t>BUHAR MEMBRAN VE BARİYERLER, BANTLAR, AKSESUARLAR</t>
  </si>
  <si>
    <t>PÁRASZABÁLYOZÓ ÉS PÁRAZÁRÓ FÓLIÁK, SZALAGOK, KIEGÉSZÍTŐK</t>
  </si>
  <si>
    <t>DISPOSITIVI TEMPORANEI</t>
  </si>
  <si>
    <t>DOČASNÁ ZAŘÍZENÍ</t>
  </si>
  <si>
    <t>临时设备</t>
  </si>
  <si>
    <t>PRIVREMENE SPRAVE</t>
  </si>
  <si>
    <t>DISPOSITIFS TEMPORAIRES</t>
  </si>
  <si>
    <t>一時的なデバイス</t>
  </si>
  <si>
    <t>ΠΡΟΣΩΡΙΝΕΣ ΣΥΣΚΕΥΕΣ, ΤΑΙΝΙΕΣ ΚΑΙ ΑΞΕΣΟΥΑΡ</t>
  </si>
  <si>
    <t>TEMPORARY DEVICES</t>
  </si>
  <si>
    <t>PAGAIDU IERĪCES</t>
  </si>
  <si>
    <t>URZĄDZENIA TYMCZASOWE</t>
  </si>
  <si>
    <t>DISPOSITIVOS TEMPORÁRIOS</t>
  </si>
  <si>
    <t>DISPOZITIVE TEMPORARE</t>
  </si>
  <si>
    <t>ВРЕМЕННЫЕ УСТРОЙСТВА</t>
  </si>
  <si>
    <t>DOČASNÉ ZARIADENIA</t>
  </si>
  <si>
    <t>ZAČASNE NAPRAVE</t>
  </si>
  <si>
    <t>DISPOSITIVOS TEMPORALES</t>
  </si>
  <si>
    <t>TILLFÄLLIGA ENHETER</t>
  </si>
  <si>
    <t>temporäre Einrichtungen</t>
  </si>
  <si>
    <t>GEÇİCİ CİHAZLAR</t>
  </si>
  <si>
    <t>IDEIGLENES ESZKÖZÖK</t>
  </si>
  <si>
    <t>FUNE</t>
  </si>
  <si>
    <t>LANO</t>
  </si>
  <si>
    <t>UŽE</t>
  </si>
  <si>
    <t>CORDE</t>
  </si>
  <si>
    <t>ロープ</t>
  </si>
  <si>
    <t xml:space="preserve">ΣΧΟΙΝΙ </t>
  </si>
  <si>
    <t>WIRE</t>
  </si>
  <si>
    <t>VIRVE</t>
  </si>
  <si>
    <t>LINA</t>
  </si>
  <si>
    <t>CORDA</t>
  </si>
  <si>
    <t>FRÂNGHIE</t>
  </si>
  <si>
    <t>ПРОВОД</t>
  </si>
  <si>
    <t>ŽICA</t>
  </si>
  <si>
    <t>CABLE</t>
  </si>
  <si>
    <t>TRÅD</t>
  </si>
  <si>
    <t>TEL</t>
  </si>
  <si>
    <t>KÁBEL</t>
  </si>
  <si>
    <t>LINEA VITA NON RB</t>
  </si>
  <si>
    <t>LANKOVÝ SYSTÉM NE RB</t>
  </si>
  <si>
    <t>非RB生命线</t>
  </si>
  <si>
    <t>LINIJA ŽIVOTA KOJA NIJE RB</t>
  </si>
  <si>
    <t>LIGNE DE VIE NON RB</t>
  </si>
  <si>
    <t>ライフラインはRBではありません</t>
  </si>
  <si>
    <t>ΓΡΑΜΜΗ ΖΩΗΣ ΌΧΙ RB</t>
  </si>
  <si>
    <t>LIFE LINE NOT RB</t>
  </si>
  <si>
    <t>DZĪVES LĪNIJA NAV RB</t>
  </si>
  <si>
    <t>LINIA ŻYCIA NIE RB</t>
  </si>
  <si>
    <t>LINHA DE VIDA NÃO RB</t>
  </si>
  <si>
    <t>LINIA VIAȚII NU RB</t>
  </si>
  <si>
    <t>ЛИНИЯ ЖИЗНИ НЕ РБ</t>
  </si>
  <si>
    <t>LIFE LIFE NOT RB</t>
  </si>
  <si>
    <t>LIFE LINE NE RB</t>
  </si>
  <si>
    <t>LÍNEA DE VIDA NO RB</t>
  </si>
  <si>
    <t>LIVSLINJE INTE RB</t>
  </si>
  <si>
    <t>LEBENSLINIE NICHT RB</t>
  </si>
  <si>
    <t>YAŞAM HATTI RB DEĞİL</t>
  </si>
  <si>
    <t>LEESÉSVÉDELMI RENDSZER NEM RB</t>
  </si>
  <si>
    <t>PUNTI D'ANCORAGGIO NON RB</t>
  </si>
  <si>
    <t>KOTEVNÍ BODY NE RB</t>
  </si>
  <si>
    <t>非RB单锚点</t>
  </si>
  <si>
    <t>SIDRENE TOČKE KOJE NISU RB</t>
  </si>
  <si>
    <t>POINTS D'ANCRAGE NON RB</t>
  </si>
  <si>
    <t>RBではないアンカーポイント</t>
  </si>
  <si>
    <t>ΣΗΜΕΙΑ ΑΓΚΥΡΩΣΗΣ ΟΧΙ RB</t>
  </si>
  <si>
    <t>ANCHOR POINTS NOT RB</t>
  </si>
  <si>
    <t>ENTURA PUNKTI Nav RB</t>
  </si>
  <si>
    <t>PUNKTY KOTWICZĄCE NIE RB</t>
  </si>
  <si>
    <t>PONTOS DE ANCORAGEM NÃO RB</t>
  </si>
  <si>
    <t>PUNCTE DE ANCORA NU RB</t>
  </si>
  <si>
    <t>ТОЧКИ ПРИКРЕПЛЕНИЯ НЕ RB</t>
  </si>
  <si>
    <t>KOTVNÉ BODY NIE RB</t>
  </si>
  <si>
    <t>SIDIŠČKE NE RB</t>
  </si>
  <si>
    <t>PUNTOS DE ANCLAJE NO RB</t>
  </si>
  <si>
    <t>FÖRANKNINGSPUNKTER EJ RB</t>
  </si>
  <si>
    <t>Anschlagspunkte NICHT RB</t>
  </si>
  <si>
    <t>ANCHOR NOKTALARI RB DEĞİL</t>
  </si>
  <si>
    <t>KIKÖTÉSI PONTOK NEM RB</t>
  </si>
  <si>
    <t>RETI ANTICADUTA TEMPORANEE</t>
  </si>
  <si>
    <t>DOČASNÉ OCHRANNÉ SÍTĚ PROTI PÁDU</t>
  </si>
  <si>
    <t>临时防坠网</t>
  </si>
  <si>
    <t>PRIVREMENE MREŽE ZA ZAŠTITU OD PADA</t>
  </si>
  <si>
    <t>FILETS ANTICHUTE TEMPORAIRES</t>
  </si>
  <si>
    <t>一時的な落下保護ネット</t>
  </si>
  <si>
    <t>ΠΡΟΣΩΡΙΝΑ ΔΙΧΤΥΑ ΠΡΟΣΤΑΣΙΑΣ ΠΤΩΣΗΣ</t>
  </si>
  <si>
    <t>TEMPORARY FALL PROTECTION NETS</t>
  </si>
  <si>
    <t>PAGAIDU AIZSARDZĪBAS TĪKLI KRITIENIEM</t>
  </si>
  <si>
    <t>TYMCZASOWE SIATKI ZABEZPIECZAJĄCE PRZED UPADKIEM</t>
  </si>
  <si>
    <t>REDES DE PROTEÇÃO TEMPORÁRIAS ANTI-QUEDA</t>
  </si>
  <si>
    <t>PLASE TEMPORARE DE PROTECTIE CU CAZARE</t>
  </si>
  <si>
    <t>ВРЕМЕННЫЕ СЕТКИ ДЛЯ ЗАЩИТЫ ОТ ПАДЕНИЯ</t>
  </si>
  <si>
    <t>DOČASNÉ OCHRANNÉ SIETE PROTI PÁDU</t>
  </si>
  <si>
    <t>ZAČASNE MREŽE ZA ZAŠČITO PADCA</t>
  </si>
  <si>
    <t>REDES TEMPORALES DE PROTECCIÓN anticaídas</t>
  </si>
  <si>
    <t>TILLÄMPLIGA FALLSKYDDSNÄT</t>
  </si>
  <si>
    <t>TEMPORÄRE FALLSCHUTZNETZE</t>
  </si>
  <si>
    <t>GEÇİCİ DÜŞME AĞLARI</t>
  </si>
  <si>
    <t>IDEIGLENES LEESÉSELLENI VÉDŐHÁLÓK</t>
  </si>
  <si>
    <t>ALTRO</t>
  </si>
  <si>
    <t>JINÉ</t>
  </si>
  <si>
    <t>其他</t>
  </si>
  <si>
    <t>OSTALO</t>
  </si>
  <si>
    <t>AUTRE</t>
  </si>
  <si>
    <t>他の</t>
  </si>
  <si>
    <t>ΑΛΛΑ</t>
  </si>
  <si>
    <t>OTHER</t>
  </si>
  <si>
    <t>CITI</t>
  </si>
  <si>
    <t>INNY</t>
  </si>
  <si>
    <t>OUTROS</t>
  </si>
  <si>
    <t>ALTE</t>
  </si>
  <si>
    <t>РАЗНОЕ</t>
  </si>
  <si>
    <t>INÉ</t>
  </si>
  <si>
    <t>DRUGO</t>
  </si>
  <si>
    <t>OTRO</t>
  </si>
  <si>
    <t>ÖVRIG</t>
  </si>
  <si>
    <t>ANDERE</t>
  </si>
  <si>
    <t>DİĞER</t>
  </si>
  <si>
    <t>EGYÉB</t>
  </si>
  <si>
    <t>头盔</t>
  </si>
  <si>
    <t>KACIGE</t>
  </si>
  <si>
    <t>CASQUES</t>
  </si>
  <si>
    <t>CĂȘTI</t>
  </si>
  <si>
    <t>ČELADE</t>
  </si>
  <si>
    <t>HELME</t>
  </si>
  <si>
    <t>SIAKOK</t>
  </si>
  <si>
    <t>IMBRACATURE</t>
  </si>
  <si>
    <t>安全带</t>
  </si>
  <si>
    <t>POJASEVI</t>
  </si>
  <si>
    <t>HARNAIS</t>
  </si>
  <si>
    <t>drošības sistēmas</t>
  </si>
  <si>
    <t>ARNÊS</t>
  </si>
  <si>
    <t>HAMAMENTE</t>
  </si>
  <si>
    <t>POPRUHY</t>
  </si>
  <si>
    <t>PARSKE</t>
  </si>
  <si>
    <t>ARNESES</t>
  </si>
  <si>
    <t>SELAR</t>
  </si>
  <si>
    <t>HÁMOK</t>
  </si>
  <si>
    <t>坠落制动</t>
  </si>
  <si>
    <t>UREĐAJ ZA SPREČAVANJE PADA</t>
  </si>
  <si>
    <t>ANTICHUTE</t>
  </si>
  <si>
    <t>落下阻止</t>
  </si>
  <si>
    <t>ΠΡΟΣΤΑΣΙΑ ΠΤΩΣΗΣ</t>
  </si>
  <si>
    <t>FALL ARREST</t>
  </si>
  <si>
    <t>KRITIENA Aizturēšana</t>
  </si>
  <si>
    <t>ARESZTOWANIE UPADKU</t>
  </si>
  <si>
    <t>ANTI-QUEDA</t>
  </si>
  <si>
    <t>ARESTARE LA CADARE</t>
  </si>
  <si>
    <t>ПАДЕНИЕ АРЕСТ</t>
  </si>
  <si>
    <t>ZASTAVENIE PÁDU</t>
  </si>
  <si>
    <t>PADEC APRES</t>
  </si>
  <si>
    <t>anticaída</t>
  </si>
  <si>
    <t>ARRESTERING</t>
  </si>
  <si>
    <t>GÜZ TUTUKLAMASI</t>
  </si>
  <si>
    <t>KIKÖTÉSI RENDSZER</t>
  </si>
  <si>
    <t>POZICE</t>
  </si>
  <si>
    <t>POZICIONIRANJE</t>
  </si>
  <si>
    <t>ΤΟΠΟΘΕΤΗΣΗ</t>
  </si>
  <si>
    <t>UMIESTNENIE</t>
  </si>
  <si>
    <t>POLOŽAJANJE</t>
  </si>
  <si>
    <t>DISCENSORI / SISTEMI DI RISALITA</t>
  </si>
  <si>
    <t>SLAŇOVACÍ / STOUPACÍ SYSTÉMY</t>
  </si>
  <si>
    <t>下降器/上升系统</t>
  </si>
  <si>
    <t>UREĐAJI ZA SPUŠTANJE/ SISTEMI ZA PENJANJE</t>
  </si>
  <si>
    <t>DESCENDEURS / SYSTÈMES DE MONTÉE</t>
  </si>
  <si>
    <t>ディセンダー/アセントシステム</t>
  </si>
  <si>
    <t>ΣΥΣΤΗΜΑΤΑ ΚΑΘΟΔΟΥ / ΑΝΟΔΟΥ</t>
  </si>
  <si>
    <t>DESCENDERS / ASCENT SYSTEMS</t>
  </si>
  <si>
    <t>ZJAZDY / SYSTEMY WZNOSZENIA</t>
  </si>
  <si>
    <t>SISTEMAS DESCENDENTES / SUBIDA</t>
  </si>
  <si>
    <t>SISTEME DE COBORARE / ASCENSARE</t>
  </si>
  <si>
    <t>СПУСКНЫЕ СИСТЕМЫ / ПОДЪЕМНЫЕ СИСТЕМЫ</t>
  </si>
  <si>
    <t>DESCENDERS / SYSTÉMY VÝSTUPU</t>
  </si>
  <si>
    <t>DESCENDERS / SISTEMI VZP</t>
  </si>
  <si>
    <t>SISTEMAS DE DESCENSO / ASCENSO</t>
  </si>
  <si>
    <t>DESCENDERS / UPPSTIGNINGSSYSTEM</t>
  </si>
  <si>
    <t>AB-/AUFSTIEGSSYSTEME</t>
  </si>
  <si>
    <t>İNDİRİCİLER / ÇIKIŞ SİSTEMLERİ</t>
  </si>
  <si>
    <t>LESZÁLLÍTÓK / EMELKEDŐ RENDSZEREK</t>
  </si>
  <si>
    <t>KIT</t>
  </si>
  <si>
    <t>成套工具</t>
  </si>
  <si>
    <t>TROUSSE</t>
  </si>
  <si>
    <t>キット</t>
  </si>
  <si>
    <t xml:space="preserve">ΚΙΤ  </t>
  </si>
  <si>
    <t>KOMPLEKTS</t>
  </si>
  <si>
    <t>ZESTAW</t>
  </si>
  <si>
    <t>КОМПЛЕКТ</t>
  </si>
  <si>
    <t>SÚPRAVA</t>
  </si>
  <si>
    <t>kit</t>
  </si>
  <si>
    <t>UTRUSTNING</t>
  </si>
  <si>
    <t>KITI</t>
  </si>
  <si>
    <t>KÉSZLET</t>
  </si>
  <si>
    <t>LANA</t>
  </si>
  <si>
    <t>UŽAD</t>
  </si>
  <si>
    <t>CORDES</t>
  </si>
  <si>
    <t>ROPES</t>
  </si>
  <si>
    <t>VIRVES</t>
  </si>
  <si>
    <t>LINY</t>
  </si>
  <si>
    <t>CORDAS</t>
  </si>
  <si>
    <t>FRÂNII</t>
  </si>
  <si>
    <t>ВЕРЕВКИ</t>
  </si>
  <si>
    <t>LANÁ</t>
  </si>
  <si>
    <t>VRVI</t>
  </si>
  <si>
    <t>CUERDAS</t>
  </si>
  <si>
    <t>TÅGVIRKE</t>
  </si>
  <si>
    <t>SEILE</t>
  </si>
  <si>
    <t>İPLER</t>
  </si>
  <si>
    <t>KÖTELEK</t>
  </si>
  <si>
    <t>DISPOSITIVI RETRATTILI</t>
  </si>
  <si>
    <t>ZATAHOVACÍ ZAŘÍZENÍ</t>
  </si>
  <si>
    <t>速差器</t>
  </si>
  <si>
    <t>UREĐAJI NA UVLAČENJE</t>
  </si>
  <si>
    <t>DISPOSITIFS RÉTRACTABLES</t>
  </si>
  <si>
    <t>ΣΥΣΚΕΥΕΣ ΑΝΑΚΟΠΗΣ ΠΤΩΣΗΣ</t>
  </si>
  <si>
    <t>IZVELKAMĀS IERĪCES</t>
  </si>
  <si>
    <t>DISPOSITIVOS RETRÁTEIS</t>
  </si>
  <si>
    <t>DISPOZITIVE RETRACTIBILE</t>
  </si>
  <si>
    <t>VYSÚVACIE ZARIADENIA</t>
  </si>
  <si>
    <t>DISPOSITIVOS RETRÁCTILES</t>
  </si>
  <si>
    <t>INDRÄCKBARA ENHETER</t>
  </si>
  <si>
    <t>BEVISSZOLHATÓ ESZKÖZÖK</t>
  </si>
  <si>
    <t>ANCORAGGI TEMPORANEI</t>
  </si>
  <si>
    <t>DOČASNÁ KOTVENÍ</t>
  </si>
  <si>
    <t>临时锚点</t>
  </si>
  <si>
    <t>PRIVREMENA SIDRISTA</t>
  </si>
  <si>
    <t>ANCRAGES TEMPORAIRES</t>
  </si>
  <si>
    <t>一時的なアンカー</t>
  </si>
  <si>
    <t>ΠΡΟΣΩΡΙΝΕΣ ΑΓΚΥΡΩΣΕΙΣ</t>
  </si>
  <si>
    <t>TEMPORARY ANCHORAGES</t>
  </si>
  <si>
    <t>PAGAIDU enkurvietas</t>
  </si>
  <si>
    <t>TYMCZASOWE ZAKOTWIENIA</t>
  </si>
  <si>
    <t>ANCORAGENS TEMPORÁRIAS</t>
  </si>
  <si>
    <t>ANCORAJE TEMPORARE</t>
  </si>
  <si>
    <t>ВРЕМЕННЫЕ КРЕПЛЕНИЯ</t>
  </si>
  <si>
    <t>DOČASNÉ KOTVENIA</t>
  </si>
  <si>
    <t>ZAČASNA SIDIŠČA</t>
  </si>
  <si>
    <t>ANCLAJES TEMPORALES</t>
  </si>
  <si>
    <t>TILLFÄLLIGA FÖRANKNINGAR</t>
  </si>
  <si>
    <t>Temporäre Befestigung</t>
  </si>
  <si>
    <t>GEÇİCİ ANKRAJLAR</t>
  </si>
  <si>
    <t>IDEIGLENES RÖGZÍTÉSEK</t>
  </si>
  <si>
    <t>KONEKTORI</t>
  </si>
  <si>
    <t>CONECTOARE</t>
  </si>
  <si>
    <t>KONEKTORJI</t>
  </si>
  <si>
    <t>KONTAKTER</t>
  </si>
  <si>
    <t>CARRUCOLE</t>
  </si>
  <si>
    <t>KLADKA</t>
  </si>
  <si>
    <t>滑轮</t>
  </si>
  <si>
    <t>ČEKRK</t>
  </si>
  <si>
    <t>POULIE</t>
  </si>
  <si>
    <t>プーリー</t>
  </si>
  <si>
    <t>ΤΡΟΧΑΛΙΑ</t>
  </si>
  <si>
    <t>PULLEY</t>
  </si>
  <si>
    <t>TRULIS</t>
  </si>
  <si>
    <t>KRĄŻEK LINOWY</t>
  </si>
  <si>
    <t>POLIA</t>
  </si>
  <si>
    <t>SCRIPETE</t>
  </si>
  <si>
    <t>ШКИВ</t>
  </si>
  <si>
    <t>Jermenica</t>
  </si>
  <si>
    <t>POLEA</t>
  </si>
  <si>
    <t>REMSKIVA</t>
  </si>
  <si>
    <t>ROLLE</t>
  </si>
  <si>
    <t>KASNAK</t>
  </si>
  <si>
    <t>CSIGA</t>
  </si>
  <si>
    <t>TROJNOŽKA</t>
  </si>
  <si>
    <t>TRONOŽCI</t>
  </si>
  <si>
    <t>TRÉPIEDS</t>
  </si>
  <si>
    <t>TRIPÉS</t>
  </si>
  <si>
    <t>TREPIODELE</t>
  </si>
  <si>
    <t>STROJÍKY</t>
  </si>
  <si>
    <t>STATIVI</t>
  </si>
  <si>
    <t>TRÍPODES</t>
  </si>
  <si>
    <t>STATIV</t>
  </si>
  <si>
    <t>ÁLLVÁNYOK</t>
  </si>
  <si>
    <t>GRU</t>
  </si>
  <si>
    <t>JEŘÁB</t>
  </si>
  <si>
    <t>起重机</t>
  </si>
  <si>
    <t>KRAN</t>
  </si>
  <si>
    <t>GRUE</t>
  </si>
  <si>
    <t>クレーン</t>
  </si>
  <si>
    <t>ΓΕΡΑΝΟΣ</t>
  </si>
  <si>
    <t>CRANE</t>
  </si>
  <si>
    <t>CELTņi</t>
  </si>
  <si>
    <t>DŹWIG</t>
  </si>
  <si>
    <t>GUINDASTE</t>
  </si>
  <si>
    <t>MACARA</t>
  </si>
  <si>
    <t>КРАН</t>
  </si>
  <si>
    <t>ŽIVEL</t>
  </si>
  <si>
    <t>GRUA</t>
  </si>
  <si>
    <t>VİNÇ</t>
  </si>
  <si>
    <t>DARU</t>
  </si>
  <si>
    <t>E</t>
  </si>
  <si>
    <t>和</t>
  </si>
  <si>
    <t>I</t>
  </si>
  <si>
    <t>ET</t>
  </si>
  <si>
    <t>と</t>
  </si>
  <si>
    <t>ΚΑΙ</t>
  </si>
  <si>
    <t>AND</t>
  </si>
  <si>
    <t>UN</t>
  </si>
  <si>
    <t>ORAZ</t>
  </si>
  <si>
    <t>ȘI</t>
  </si>
  <si>
    <t>И</t>
  </si>
  <si>
    <t>IN</t>
  </si>
  <si>
    <t>OCH</t>
  </si>
  <si>
    <t>UND</t>
  </si>
  <si>
    <t>VE</t>
  </si>
  <si>
    <t>ÉS</t>
  </si>
  <si>
    <t>ANCORANTE AVVITABILE</t>
  </si>
  <si>
    <t>ŠROUBOVATELNÁ KOTVA</t>
  </si>
  <si>
    <t>可拧锚点</t>
  </si>
  <si>
    <t>SIDRO KOJE SE ZAVRČE</t>
  </si>
  <si>
    <t>CHEVILLE A VISSER</t>
  </si>
  <si>
    <t>スクリュー可能なアンカー</t>
  </si>
  <si>
    <t>ΑΓΚΥΡΙΟ ΜΕ ΒΙΔΑ</t>
  </si>
  <si>
    <t>SCREWABLE ANCHOR</t>
  </si>
  <si>
    <t>Skrūvējams enkurs</t>
  </si>
  <si>
    <t>KOTWY WKRĘCANE</t>
  </si>
  <si>
    <t>ÂNCORANTE APARAFUSÁVEL</t>
  </si>
  <si>
    <t>ANCORA SURUBABLE</t>
  </si>
  <si>
    <t>ВИНТОВОЙ АНКЕР</t>
  </si>
  <si>
    <t>SKRUTKOVATEĽNÁ KOTVA</t>
  </si>
  <si>
    <t>SIDRO NA VIJAČ</t>
  </si>
  <si>
    <t>anclaje atornillable</t>
  </si>
  <si>
    <t>SKRUVBART ANKER</t>
  </si>
  <si>
    <t>SCHRAUBANKER</t>
  </si>
  <si>
    <t>VİDALANABİLİR ANKRAJ</t>
  </si>
  <si>
    <t>CSAVAROZHATÓ RÖGZÍTŐ</t>
  </si>
  <si>
    <t>TASSELLI MECCANICI</t>
  </si>
  <si>
    <t>MECHANICKÉ KOTVY</t>
  </si>
  <si>
    <t>机械锚固</t>
  </si>
  <si>
    <t>MEHANIČKA SIDRA</t>
  </si>
  <si>
    <t>CHEVILLES MÉCANIQUES</t>
  </si>
  <si>
    <t>機械ダボ</t>
  </si>
  <si>
    <t>ΜΗΧΑΝΙΚΑ ΑΓΚΥΡΙΑ</t>
  </si>
  <si>
    <t>MECHANICAL ANCHORS</t>
  </si>
  <si>
    <t>MEHĀNISKIE DĪBEĻI</t>
  </si>
  <si>
    <t>KOŁKI MECHANICZNE</t>
  </si>
  <si>
    <t>ANCORANTES METÁLICOS</t>
  </si>
  <si>
    <t>DIBLURI MECANICE</t>
  </si>
  <si>
    <t>МЕХАНИЧЕСКИЕ АНКЕРЫ</t>
  </si>
  <si>
    <t>MEHANSKA SIDRA</t>
  </si>
  <si>
    <t>ANCLAJES MECÁNICOS</t>
  </si>
  <si>
    <t>MEKANISKA ANKARE</t>
  </si>
  <si>
    <t>MECHANISCHE ANKER</t>
  </si>
  <si>
    <t>MEKANİK ANKRAJ</t>
  </si>
  <si>
    <t>MECHANIKUS RÖGZÍTÉSEK</t>
  </si>
  <si>
    <t>RESINE E COLLE</t>
  </si>
  <si>
    <t>PRYSKYŘICE A LEPIDLA</t>
  </si>
  <si>
    <t>树脂和胶水</t>
  </si>
  <si>
    <t>SMOLE I LJEPILA</t>
  </si>
  <si>
    <t>RÉSINES ET COLLES</t>
  </si>
  <si>
    <t>樹脂と接着剤</t>
  </si>
  <si>
    <t>ΡΗΤΙΝΕΣ ΚΑΙ ΚΟΛΛΕΣ</t>
  </si>
  <si>
    <t>RESINS AND GLUES</t>
  </si>
  <si>
    <t>enkurmasas UN LĪMES</t>
  </si>
  <si>
    <t>ŻYWICE I KLEJE</t>
  </si>
  <si>
    <t>RESINAS E COLAS</t>
  </si>
  <si>
    <t>RĂȘINI ȘI Adezivi</t>
  </si>
  <si>
    <t>СМОЛЫ И КЛЕИ</t>
  </si>
  <si>
    <t>ŽIVICE A LEPIDLÁ</t>
  </si>
  <si>
    <t>SMOLE IN LEPILA</t>
  </si>
  <si>
    <t>RESINAS Y COLAS</t>
  </si>
  <si>
    <t>KARTA OCH LIM</t>
  </si>
  <si>
    <t>HARZE UND KLEBSTOFFE</t>
  </si>
  <si>
    <t>REÇİNELER VE TUTKALLAR</t>
  </si>
  <si>
    <t>GYANTÁK ÉS RAGASZTÓK</t>
  </si>
  <si>
    <t>BARRE FILETTATE</t>
  </si>
  <si>
    <t>ZÁVITOVÉ TYČE</t>
  </si>
  <si>
    <t>螺纹杆</t>
  </si>
  <si>
    <t>NAVOJNE ŠIPKE</t>
  </si>
  <si>
    <t>BARRES FILETÉES</t>
  </si>
  <si>
    <t>ねじ山バー</t>
  </si>
  <si>
    <t>ΝΤΙΖΕΣ</t>
  </si>
  <si>
    <t>THREADED BARS</t>
  </si>
  <si>
    <t>VĪTņSTIEŅI</t>
  </si>
  <si>
    <t>PRĘTY GWINTOWANE</t>
  </si>
  <si>
    <t>VARÕES ROSCADOS</t>
  </si>
  <si>
    <t>BARE FILETATE</t>
  </si>
  <si>
    <t>РЕЗЬБОВЫЕ ШПИЛЬКИ</t>
  </si>
  <si>
    <t>NAVOJNE LESKE</t>
  </si>
  <si>
    <t>BARRAS ROSCADAS</t>
  </si>
  <si>
    <t>GÄNGAD STÄNGOR</t>
  </si>
  <si>
    <t>GEWINDESTANGEN</t>
  </si>
  <si>
    <t>DİŞLİ ÇUBUKLAR</t>
  </si>
  <si>
    <t>MENETES SZÁRAK</t>
  </si>
  <si>
    <t>DOPPIO TRAFILATO SU MISURA</t>
  </si>
  <si>
    <t>DVOJZÁVITOVÉ TYČE NA MÍRU</t>
  </si>
  <si>
    <t>预穿孔双螺纹杆</t>
  </si>
  <si>
    <t>NAMJESTIVE DVOSTRUKE NAVOJNE ŠIPKE</t>
  </si>
  <si>
    <t>DOUBLE DESSIN SUR MESURE</t>
  </si>
  <si>
    <t>二重に描かれた測定</t>
  </si>
  <si>
    <t>ΔΙΠΛΕΣ ΝΤΙΖΕΣ</t>
  </si>
  <si>
    <t>BESPOKEN DOUBLE THREADED BARS</t>
  </si>
  <si>
    <t>SPECIĀLIE vītņstieņi</t>
  </si>
  <si>
    <t>PODWÓJNIE RYSOWANE NA MIARĘ</t>
  </si>
  <si>
    <t>VARÃO DUPLO POR MEDIDA</t>
  </si>
  <si>
    <t>DUBLU TRAS FĂCUT PE MĂSURĂ</t>
  </si>
  <si>
    <t>ДВОЙНАЯ РЕЗЬБА ПО ЗАКАЗУ</t>
  </si>
  <si>
    <t>TYČE S DVOJITÝM ZÁVITOM NA MIERU</t>
  </si>
  <si>
    <t>DVOJNE NAVOJNE LETKE PO PO meri</t>
  </si>
  <si>
    <t>BARRAS DOBLE ROSCA A MEDIDA</t>
  </si>
  <si>
    <t>SKRÄDDARSYDDA DUBBELTÄGADE STÄNGOR</t>
  </si>
  <si>
    <t>MASSGESCHNEIDERTE DOPPELTE GEWINDESTANGEN</t>
  </si>
  <si>
    <t>ÖZEL ÇİFT DİŞLİ ÇUBUKLAR</t>
  </si>
  <si>
    <t>MÉRETRE KÉSZÜLT KETTŐS MENETES SZÁRAK</t>
  </si>
  <si>
    <t>CONTROVENTO</t>
  </si>
  <si>
    <t>ZAVĚTRÁVANÍ</t>
  </si>
  <si>
    <t>UKLJUČIVANJE</t>
  </si>
  <si>
    <t>ENTRETOISEMENT</t>
  </si>
  <si>
    <t>ブレーシング</t>
  </si>
  <si>
    <t>ΓΙΑ ΣΤΗΡΙΞΗ</t>
  </si>
  <si>
    <t>BRACING</t>
  </si>
  <si>
    <t>Savilces</t>
  </si>
  <si>
    <t>ORZEŹWIAJĄCY</t>
  </si>
  <si>
    <t>CONTRAVENTAMENTO</t>
  </si>
  <si>
    <t>CONTRIBUIREA</t>
  </si>
  <si>
    <t>СВЯЗЬ</t>
  </si>
  <si>
    <t>OPREMA</t>
  </si>
  <si>
    <t>contraviento</t>
  </si>
  <si>
    <t>UPPIGGANDE</t>
  </si>
  <si>
    <t>Windverband</t>
  </si>
  <si>
    <t>GÜÇLENDİRME</t>
  </si>
  <si>
    <t>RÖGZÍTŐ</t>
  </si>
  <si>
    <t>% Viti a grano in più</t>
  </si>
  <si>
    <t>% přídavných stavěcích šroubů</t>
  </si>
  <si>
    <t>% 额外的平头螺钉</t>
  </si>
  <si>
    <t>% dodatnih vijaka</t>
  </si>
  <si>
    <t>% de vis sans tête supplémentaires</t>
  </si>
  <si>
    <t>％追加のグラブネジ</t>
  </si>
  <si>
    <t xml:space="preserve">% πρόσθετες βίδες </t>
  </si>
  <si>
    <t>% addiotional grub screws</t>
  </si>
  <si>
    <t>% papildu skrūves</t>
  </si>
  <si>
    <t>% dodatkowych wkrętów dociskowych</t>
  </si>
  <si>
    <t>% parafusos adicionais</t>
  </si>
  <si>
    <t>% șuruburi de fixare suplimentare</t>
  </si>
  <si>
    <t>% дополнительные установочные винты</t>
  </si>
  <si>
    <t>% dodatočných závitových kolíkov</t>
  </si>
  <si>
    <t>% dodatnih vijakov</t>
  </si>
  <si>
    <t>% tornillo sin cabeza adicional</t>
  </si>
  <si>
    <t>% extra stiftskruvar</t>
  </si>
  <si>
    <t>% zusätzliche Madenschrauben</t>
  </si>
  <si>
    <t>% ek başsız vidalar</t>
  </si>
  <si>
    <t>% további csigacsavarok</t>
  </si>
  <si>
    <t>PROFONDITA' OSTACOLO</t>
  </si>
  <si>
    <t>HLOUBKA PŘEKÁŽKY</t>
  </si>
  <si>
    <t>障碍物深度</t>
  </si>
  <si>
    <t>DUBINA PREPREKE</t>
  </si>
  <si>
    <t>PROFONDEUR DE L'OBSTACLE</t>
  </si>
  <si>
    <t>障害物深さ</t>
  </si>
  <si>
    <t>ΒΑΘΟΣ ΕΜΠΟΔΙΟΥ</t>
  </si>
  <si>
    <t>OBSTACLE DEPTH</t>
  </si>
  <si>
    <t>ŠĶĒRŠĻU DZIĻUMS</t>
  </si>
  <si>
    <t>GŁĘBOKOŚĆ PRZESZKODY</t>
  </si>
  <si>
    <t>PRODUNDIDADE DO OBSTÁCULO</t>
  </si>
  <si>
    <t>ADÂNCIMEA OBSTACOLULUI</t>
  </si>
  <si>
    <t>ДЛИНА ОБСТАНАВЛИВАНИЯ</t>
  </si>
  <si>
    <t>HĹBKA OBSTACLE</t>
  </si>
  <si>
    <t>GLOBINA OVIRE</t>
  </si>
  <si>
    <t>PROFUNDIDAD DEL OBSTÁCULO</t>
  </si>
  <si>
    <t>OBSTACLE DJUP</t>
  </si>
  <si>
    <t>OBSTACLE TIEFE</t>
  </si>
  <si>
    <t>ENGEL DERİNLİĞİ</t>
  </si>
  <si>
    <t>AKADÁLY MÉLYSÉGE</t>
  </si>
  <si>
    <t>SPESSORE CORDOLO</t>
  </si>
  <si>
    <t>Tloušťka obrubníku</t>
  </si>
  <si>
    <t>路缘石厚度</t>
  </si>
  <si>
    <t>DEBLJINA RUBA</t>
  </si>
  <si>
    <t>ÉPAISSEUR DU KERB</t>
  </si>
  <si>
    <t>縁石の幅</t>
  </si>
  <si>
    <t>ΚΑΘΑΡΙΣΜΕΝΟ ΠΑΧΟΣ</t>
  </si>
  <si>
    <t>KERB THICKNESS</t>
  </si>
  <si>
    <t>IEROBEŽojumu BIEZUMS</t>
  </si>
  <si>
    <t>GRUBOŚĆ KRAWĘŻNIKA</t>
  </si>
  <si>
    <t xml:space="preserve">ESPESSURA DO </t>
  </si>
  <si>
    <t>GROSIMEA MIEZULUI</t>
  </si>
  <si>
    <t>ТОЛЩИНА КЕРБА</t>
  </si>
  <si>
    <t>HĹBKA KERBU</t>
  </si>
  <si>
    <t>DEBELINA GRUDE</t>
  </si>
  <si>
    <t>espesor al borde</t>
  </si>
  <si>
    <t>TJOCKLEK</t>
  </si>
  <si>
    <t>KERB-DICKHEIT</t>
  </si>
  <si>
    <t>KERBET KALINLIĞI</t>
  </si>
  <si>
    <t>SZEGÉLY VASTAGSÁGA</t>
  </si>
  <si>
    <t>SCALETTA DI DISCESA</t>
  </si>
  <si>
    <t>Sestupový žebřík</t>
  </si>
  <si>
    <t>下降梯</t>
  </si>
  <si>
    <t>LJESTVE KOJE SE SPUŠTAJU</t>
  </si>
  <si>
    <t>DESCENT LADDER</t>
  </si>
  <si>
    <t>下降梯子</t>
  </si>
  <si>
    <t>ΣΚΑΛΑ ΚΑΤΑΒΑΣΗΣ</t>
  </si>
  <si>
    <t>NOLAIšanās KĀPNES</t>
  </si>
  <si>
    <t>DRABINA ZJAZDOWA</t>
  </si>
  <si>
    <t>ESCADA DE DESCIDA</t>
  </si>
  <si>
    <t>COBORÂRE DE COBORÂRE</t>
  </si>
  <si>
    <t>ЛЕДНИК СВОБОДЫ</t>
  </si>
  <si>
    <t>SADLÁ DESCENT</t>
  </si>
  <si>
    <t>ESCALERA DE DESCENSO</t>
  </si>
  <si>
    <t>NEDGÅNGSLYFTSLYFT</t>
  </si>
  <si>
    <t>LADDER INNEN-AUSTIEG</t>
  </si>
  <si>
    <t>İNİŞ MERDİVENİ</t>
  </si>
  <si>
    <t>ERESZKEDŐ LÉTRA</t>
  </si>
  <si>
    <t>(E) Maggiore di 450 mm</t>
  </si>
  <si>
    <t>Více než 450 mm</t>
  </si>
  <si>
    <t>（E）大于450毫米</t>
  </si>
  <si>
    <t>(E) VEĆE OD 450 MM</t>
  </si>
  <si>
    <t>(E) Supérieur à 450 mm</t>
  </si>
  <si>
    <t>(E) 450mmを超える</t>
  </si>
  <si>
    <t>(Ε) Πάνω από 450 mm</t>
  </si>
  <si>
    <t>(E) Greater than 450 mm</t>
  </si>
  <si>
    <t>(E) Lielāks par 450 mm</t>
  </si>
  <si>
    <t>(E) Większa niż 450 mm</t>
  </si>
  <si>
    <t>(E) Maior do que 450mm</t>
  </si>
  <si>
    <t>(E) Mai mare de 450 mm</t>
  </si>
  <si>
    <t>(E) Более 450 мм</t>
  </si>
  <si>
    <t>(E) Viac ako 450 mm</t>
  </si>
  <si>
    <t>(E) Več kot 450 mm</t>
  </si>
  <si>
    <t>(E) Mayor de 450 mm</t>
  </si>
  <si>
    <t>(E) Större än 450 mm</t>
  </si>
  <si>
    <t>(E) Größer als 450 mm</t>
  </si>
  <si>
    <t>(E) 450 mm'den büyük</t>
  </si>
  <si>
    <t>(E) Nagyobb, mint 450mm</t>
  </si>
  <si>
    <t>Minore di</t>
  </si>
  <si>
    <t>Méně než</t>
  </si>
  <si>
    <t>少于</t>
  </si>
  <si>
    <t>MANJE OD</t>
  </si>
  <si>
    <t>Moins de</t>
  </si>
  <si>
    <t>未満</t>
  </si>
  <si>
    <t>Λιγότερο από</t>
  </si>
  <si>
    <t>Less than</t>
  </si>
  <si>
    <t>Mazāk nekā</t>
  </si>
  <si>
    <t>Mniej niż</t>
  </si>
  <si>
    <t>Menor de</t>
  </si>
  <si>
    <t>Mai puțin de</t>
  </si>
  <si>
    <t>Менее</t>
  </si>
  <si>
    <t>Menej ako</t>
  </si>
  <si>
    <t>Manj kot</t>
  </si>
  <si>
    <t>Menrs de</t>
  </si>
  <si>
    <t>Mindre än</t>
  </si>
  <si>
    <t>Weniger als</t>
  </si>
  <si>
    <t>Daha az</t>
  </si>
  <si>
    <t>kevesebb mint</t>
  </si>
  <si>
    <t>Su richiesta SBARCO maggiore di 750 mm</t>
  </si>
  <si>
    <t>Na vyžádání vstup větší než 750 mm</t>
  </si>
  <si>
    <t>根据要求，着陆距离大于750毫米</t>
  </si>
  <si>
    <t>NA ZAHTJEV SILAŽENJE VEĆE OD 750 MM</t>
  </si>
  <si>
    <t>Sur demande DEBOUT Plus de 750 mm</t>
  </si>
  <si>
    <t>要望に応じてランディング750mm以上</t>
  </si>
  <si>
    <t>Κατόπιν αιτήματος ΠΡΟΣΓΕΙΩΣΗ Μεγαλύτερο από 750 mm</t>
  </si>
  <si>
    <t>On request LANDING Greater than 750 mm</t>
  </si>
  <si>
    <t>Pēc pieprasījuma - Lielāks par 750 mm</t>
  </si>
  <si>
    <t>Na życzenie LĄDOWANIE Większe niż 750 mm</t>
  </si>
  <si>
    <t>Sobre pedido ATERRAGEM maior de 750 mm</t>
  </si>
  <si>
    <t>La cerere MAI JOS DE 750 mm</t>
  </si>
  <si>
    <t>По запросу НИЖЕ 750 мм</t>
  </si>
  <si>
    <t>Na požiadanie Nižšie ako 750 mm</t>
  </si>
  <si>
    <t>Na zahtevo NIŽJE OD 750 mm</t>
  </si>
  <si>
    <t>A petición del cliente desembarque Mayor de 750 mm</t>
  </si>
  <si>
    <t>På begäran LÄNGRE än 750 mm</t>
  </si>
  <si>
    <t>Auf Anfrage LANDING Größer als 750 mm</t>
  </si>
  <si>
    <t>İstek üzerine 750 mm'den DAHA DÜŞÜK</t>
  </si>
  <si>
    <t>Igény esetén LANDING nagyobb, mint 750mm</t>
  </si>
  <si>
    <t>Su richiesta</t>
  </si>
  <si>
    <t>Na vyžádání</t>
  </si>
  <si>
    <t>应要求</t>
  </si>
  <si>
    <t>NA ZAHTJEV</t>
  </si>
  <si>
    <t>Sur demande</t>
  </si>
  <si>
    <t>要望に応じて</t>
  </si>
  <si>
    <t>Κατόπιν αίτησης</t>
  </si>
  <si>
    <t>On request</t>
  </si>
  <si>
    <t>Pēc pieprasījuma</t>
  </si>
  <si>
    <t>Na życzenie</t>
  </si>
  <si>
    <t>Sobre pedido</t>
  </si>
  <si>
    <t>La cerere</t>
  </si>
  <si>
    <t>По запросу</t>
  </si>
  <si>
    <t>Na požiadanie</t>
  </si>
  <si>
    <t>Na zahtevo</t>
  </si>
  <si>
    <t>A petición</t>
  </si>
  <si>
    <t>På begäran</t>
  </si>
  <si>
    <t>Auf Anfrage</t>
  </si>
  <si>
    <t>İstek üzerine</t>
  </si>
  <si>
    <t>igény esetén</t>
  </si>
  <si>
    <t>Opzione Default</t>
  </si>
  <si>
    <t>Výchozí možnost</t>
  </si>
  <si>
    <t>选项默认值</t>
  </si>
  <si>
    <t>UOBIČAJNA OPCIJA</t>
  </si>
  <si>
    <t>Option par défaut</t>
  </si>
  <si>
    <t>デフォルトオプション</t>
  </si>
  <si>
    <t>Standard επιλογή</t>
  </si>
  <si>
    <t>Option Default</t>
  </si>
  <si>
    <t>Opcija - pēc noklusējuma</t>
  </si>
  <si>
    <t>Opcja domyślna</t>
  </si>
  <si>
    <t>Opção por defeito</t>
  </si>
  <si>
    <t>Opțiune implicită</t>
  </si>
  <si>
    <t>Опция По умолчанию</t>
  </si>
  <si>
    <t>Predvolená možnosť</t>
  </si>
  <si>
    <t>Privzeta možnost</t>
  </si>
  <si>
    <t>Opción por defecto</t>
  </si>
  <si>
    <t>Alternativ Standard</t>
  </si>
  <si>
    <t>Option Standard</t>
  </si>
  <si>
    <t>Seçenek Varsayılan</t>
  </si>
  <si>
    <t>Alapértelmezett verzió</t>
  </si>
  <si>
    <t>Necessaria protezione</t>
  </si>
  <si>
    <t>Je vyžadována ochrana</t>
  </si>
  <si>
    <t>需要保护</t>
  </si>
  <si>
    <t>OBAVENA ZAŠTITA</t>
  </si>
  <si>
    <t>Protection requise</t>
  </si>
  <si>
    <t>必要な保護機能</t>
  </si>
  <si>
    <t>Απαιτείται προστασία</t>
  </si>
  <si>
    <t>Protection required</t>
  </si>
  <si>
    <t>Nepieciešama aizsardzība</t>
  </si>
  <si>
    <t>Wymagana ochrona</t>
  </si>
  <si>
    <t>Necessária proteção</t>
  </si>
  <si>
    <t>La cerere Protecție necesară</t>
  </si>
  <si>
    <t>По запросу Требуется защита</t>
  </si>
  <si>
    <t>Požadovaná ochrana</t>
  </si>
  <si>
    <t>Na zahtevo Zahtevana zaščita</t>
  </si>
  <si>
    <t>Protección necesaria</t>
  </si>
  <si>
    <t>På begäran Skydd krävs</t>
  </si>
  <si>
    <t>Schutz erforderlich</t>
  </si>
  <si>
    <t>Gerekli koruma</t>
  </si>
  <si>
    <t>Védelem szükséges</t>
  </si>
  <si>
    <t>Forma</t>
  </si>
  <si>
    <t>Tvar</t>
  </si>
  <si>
    <t>形状</t>
  </si>
  <si>
    <t>OBLIK</t>
  </si>
  <si>
    <t>Forme</t>
  </si>
  <si>
    <t>Σχήμα</t>
  </si>
  <si>
    <t>Shape</t>
  </si>
  <si>
    <t>Kształt</t>
  </si>
  <si>
    <t>Formă</t>
  </si>
  <si>
    <t>Форма</t>
  </si>
  <si>
    <t>Oblika</t>
  </si>
  <si>
    <t>Form</t>
  </si>
  <si>
    <t>Şekil</t>
  </si>
  <si>
    <t>forma</t>
  </si>
  <si>
    <t>Rettangolare</t>
  </si>
  <si>
    <t>Obdélníkový</t>
  </si>
  <si>
    <t>矩形的</t>
  </si>
  <si>
    <t>PRAVOKUTAN</t>
  </si>
  <si>
    <t>Rectangulaire</t>
  </si>
  <si>
    <t>長方形</t>
  </si>
  <si>
    <t>Ορθογώνιος</t>
  </si>
  <si>
    <t>Rectangular</t>
  </si>
  <si>
    <t>Taisnstūrveida</t>
  </si>
  <si>
    <t>Prostokątny</t>
  </si>
  <si>
    <t>Retangular</t>
  </si>
  <si>
    <t>Прямоугольная</t>
  </si>
  <si>
    <t>Obdĺžnikový</t>
  </si>
  <si>
    <t>Pravokotni</t>
  </si>
  <si>
    <t>Rektangulär</t>
  </si>
  <si>
    <t>Rechteckig</t>
  </si>
  <si>
    <t>Dikdörtgen</t>
  </si>
  <si>
    <t>négyzet</t>
  </si>
  <si>
    <t>Circolare</t>
  </si>
  <si>
    <t>Kruhový</t>
  </si>
  <si>
    <t>圆形的</t>
  </si>
  <si>
    <t>KRUŽAN</t>
  </si>
  <si>
    <t>Circulaire</t>
  </si>
  <si>
    <t>円形</t>
  </si>
  <si>
    <t>Εγκύκλιος</t>
  </si>
  <si>
    <t>Circular</t>
  </si>
  <si>
    <t>Apļveida</t>
  </si>
  <si>
    <t>Okrągły</t>
  </si>
  <si>
    <t>Круглый</t>
  </si>
  <si>
    <t>Krožni</t>
  </si>
  <si>
    <t>Cirkulär</t>
  </si>
  <si>
    <t>rund</t>
  </si>
  <si>
    <t>Dairesel</t>
  </si>
  <si>
    <t>kör</t>
  </si>
  <si>
    <t>Raggio</t>
  </si>
  <si>
    <t>Poloměr</t>
  </si>
  <si>
    <t>半径</t>
  </si>
  <si>
    <t>RADIJUS</t>
  </si>
  <si>
    <t>Rayon</t>
  </si>
  <si>
    <t>Ακτίνα κύκλου</t>
  </si>
  <si>
    <t>Radius</t>
  </si>
  <si>
    <t>Rādiuss</t>
  </si>
  <si>
    <t>Promień</t>
  </si>
  <si>
    <t>Ráio</t>
  </si>
  <si>
    <t>Радиус</t>
  </si>
  <si>
    <t>Polomer</t>
  </si>
  <si>
    <t>Radij</t>
  </si>
  <si>
    <t>Radio</t>
  </si>
  <si>
    <t>Yarıçap</t>
  </si>
  <si>
    <t>átmérő</t>
  </si>
  <si>
    <t>ŠIRINA</t>
  </si>
  <si>
    <t>Anchura</t>
  </si>
  <si>
    <t>szélesség</t>
  </si>
  <si>
    <t>Délka</t>
  </si>
  <si>
    <t>长</t>
  </si>
  <si>
    <t>DULJINA</t>
  </si>
  <si>
    <t>Longueur</t>
  </si>
  <si>
    <t>長さ</t>
  </si>
  <si>
    <t>Μήκος</t>
  </si>
  <si>
    <t>Garums</t>
  </si>
  <si>
    <t>Długość</t>
  </si>
  <si>
    <t>Comprimento</t>
  </si>
  <si>
    <t>Lungime</t>
  </si>
  <si>
    <t>Длина</t>
  </si>
  <si>
    <t>Dĺžka</t>
  </si>
  <si>
    <t>Dolžina</t>
  </si>
  <si>
    <t>Longitud</t>
  </si>
  <si>
    <t>Längd</t>
  </si>
  <si>
    <t>Länge</t>
  </si>
  <si>
    <t>Uzunluk</t>
  </si>
  <si>
    <t>hossz</t>
  </si>
  <si>
    <t>Superficie (mq)</t>
  </si>
  <si>
    <t>Plocha (m2)</t>
  </si>
  <si>
    <t>表面（平方米）</t>
  </si>
  <si>
    <t>POVRŠINA M2</t>
  </si>
  <si>
    <t>Surface (m²)</t>
  </si>
  <si>
    <t>表面積(㎡)</t>
  </si>
  <si>
    <t>Επιφάνεια (τμ)</t>
  </si>
  <si>
    <t>Surface (sqm)</t>
  </si>
  <si>
    <t>Virsma (kvm)</t>
  </si>
  <si>
    <t>Powierzchnia (m2)</t>
  </si>
  <si>
    <t>Superficíe (m2)</t>
  </si>
  <si>
    <t>Suprafața (mp)</t>
  </si>
  <si>
    <t>Площадь поверхности (кв. м)</t>
  </si>
  <si>
    <t>Površina (m2)</t>
  </si>
  <si>
    <t>Superficie (m2)</t>
  </si>
  <si>
    <t>Yta (kvm)</t>
  </si>
  <si>
    <t>Fläche (qm)</t>
  </si>
  <si>
    <t>Yüzey alanı (metrekare)</t>
  </si>
  <si>
    <t>felület (nm)</t>
  </si>
  <si>
    <t>Codice per richiesta</t>
  </si>
  <si>
    <t>Požadovaný kód</t>
  </si>
  <si>
    <t>请求代码</t>
  </si>
  <si>
    <t>KOD ZA ZAHTJEV</t>
  </si>
  <si>
    <t>Code pour la demande</t>
  </si>
  <si>
    <t>リクエスト用コード</t>
  </si>
  <si>
    <t>Κωδικός για αίτημα</t>
  </si>
  <si>
    <t>Code for request</t>
  </si>
  <si>
    <t>Kods pieprasījumam</t>
  </si>
  <si>
    <t>Kod na żądanie</t>
  </si>
  <si>
    <t>Codigo de pedido</t>
  </si>
  <si>
    <t>Cod pentru cerere</t>
  </si>
  <si>
    <t>Код для запроса</t>
  </si>
  <si>
    <t>Kód žiadosti</t>
  </si>
  <si>
    <t>Koda za zahtevo</t>
  </si>
  <si>
    <t>Código de solicitud</t>
  </si>
  <si>
    <t>Kod för begäran</t>
  </si>
  <si>
    <t>Kodex für Anfrage</t>
  </si>
  <si>
    <t>İstek için kod</t>
  </si>
  <si>
    <t>Ajánlat száma</t>
  </si>
  <si>
    <t>Dimensioni</t>
  </si>
  <si>
    <t>Rozměry</t>
  </si>
  <si>
    <t>尺寸</t>
  </si>
  <si>
    <t>DIMENZIJE</t>
  </si>
  <si>
    <t>Dimensions</t>
  </si>
  <si>
    <t>外形寸法図</t>
  </si>
  <si>
    <t>Διαστάσεις</t>
  </si>
  <si>
    <t>Izmēri</t>
  </si>
  <si>
    <t>Wymiary</t>
  </si>
  <si>
    <t>Dimensões</t>
  </si>
  <si>
    <t>Dimensiuni</t>
  </si>
  <si>
    <t>Размеры</t>
  </si>
  <si>
    <t>Rozmery</t>
  </si>
  <si>
    <t>Dimenzije</t>
  </si>
  <si>
    <t>Dimensiones</t>
  </si>
  <si>
    <t>Mått</t>
  </si>
  <si>
    <t>Abmessungen</t>
  </si>
  <si>
    <t>Boyutlar</t>
  </si>
  <si>
    <t>méretek</t>
  </si>
  <si>
    <t>Superficie Totale (mq)</t>
  </si>
  <si>
    <t>Celková plocha (m2)</t>
  </si>
  <si>
    <t>总面积（平方米）</t>
  </si>
  <si>
    <t>TOTALNA POVRŠINA M2</t>
  </si>
  <si>
    <t>Surface totale (m²)</t>
  </si>
  <si>
    <t>表面積合計(㎡)</t>
  </si>
  <si>
    <t>Συνολική επιφάνεια (τμ)</t>
  </si>
  <si>
    <t>Total surface (sqm)</t>
  </si>
  <si>
    <t>Kopējā platība (kvm)</t>
  </si>
  <si>
    <t>Całkowita powierzchnia (m2)</t>
  </si>
  <si>
    <t>Superficie Total (m2)</t>
  </si>
  <si>
    <t>Suprafața totală (mp)</t>
  </si>
  <si>
    <t>Общая площадь (кв. м)</t>
  </si>
  <si>
    <t>Skupna površina (m2)</t>
  </si>
  <si>
    <t>Superficie total (m2)</t>
  </si>
  <si>
    <t>Total yta (kvm)</t>
  </si>
  <si>
    <t>Gesamtfläche (qm)</t>
  </si>
  <si>
    <t>Toplam Yüzey (m²)</t>
  </si>
  <si>
    <t>teljes felület (nm)</t>
  </si>
  <si>
    <t>Superficie Subtotale (mq)</t>
  </si>
  <si>
    <t>Mezisoučet plochy (m2)</t>
  </si>
  <si>
    <t>小计表面（平方米）</t>
  </si>
  <si>
    <t>MEĐUZBROJ POVRŠINE M2</t>
  </si>
  <si>
    <t>Surface sous-totale (m²)</t>
  </si>
  <si>
    <t>表面積小計（㎡）</t>
  </si>
  <si>
    <t>Μερική επιφάνεια (τμ)</t>
  </si>
  <si>
    <t>Subtotal surface (sqm)</t>
  </si>
  <si>
    <t>Powierzchnia częściowa (m2)</t>
  </si>
  <si>
    <t>Superficie SubTotal (m2)</t>
  </si>
  <si>
    <t>Suprafața subtotală (mp)</t>
  </si>
  <si>
    <t>Итоговая площадь (кв. м)</t>
  </si>
  <si>
    <t>Medzisúčet plôch (m2)</t>
  </si>
  <si>
    <t>Vmesna površina (m2)</t>
  </si>
  <si>
    <t>Superficie subtotal (m2)</t>
  </si>
  <si>
    <t>Del av ytan (kvm)</t>
  </si>
  <si>
    <t>Zwischensumme Fläche (qm)</t>
  </si>
  <si>
    <t>Toplam yüzey (metrekare)</t>
  </si>
  <si>
    <t>részleges felület (nm)</t>
  </si>
  <si>
    <t>Prezzo Listino/mq</t>
  </si>
  <si>
    <t>Doporučená prodejní cena/m2</t>
  </si>
  <si>
    <t>标价/平方米</t>
  </si>
  <si>
    <t>CIJENA U CJENIKU/M2</t>
  </si>
  <si>
    <t>Prix de liste/m².</t>
  </si>
  <si>
    <t>定価/㎡</t>
  </si>
  <si>
    <t>Τιμή καταλόγου/τμ</t>
  </si>
  <si>
    <t>List price/sqm</t>
  </si>
  <si>
    <t>Mazumtirdzniecības cena/kvm</t>
  </si>
  <si>
    <t>Cena katalogowa/m2</t>
  </si>
  <si>
    <t>Preço de Lista/m2</t>
  </si>
  <si>
    <t>Preț de listă/mp</t>
  </si>
  <si>
    <t>Прейскурантная цена/кв.м</t>
  </si>
  <si>
    <t>Cenníková cena/m²</t>
  </si>
  <si>
    <t>Knjižna cena/kvadratni meter</t>
  </si>
  <si>
    <t>Precio de lista/metro cuadrado</t>
  </si>
  <si>
    <t>Listapris/kvm</t>
  </si>
  <si>
    <t>Listenpreis/qm</t>
  </si>
  <si>
    <t>Liste fiyatı/metrekare</t>
  </si>
  <si>
    <t>listaár/nm</t>
  </si>
  <si>
    <t>Prezzo Netto/mq</t>
  </si>
  <si>
    <t>Nákupní cena/m2</t>
  </si>
  <si>
    <t>净价/平方米</t>
  </si>
  <si>
    <t>NETO CIJENA/M2</t>
  </si>
  <si>
    <t>Prix net/m2</t>
  </si>
  <si>
    <t>税込み価格/㎡</t>
  </si>
  <si>
    <t>Καθαρή τιμή/τμ</t>
  </si>
  <si>
    <t>Net price/sqm</t>
  </si>
  <si>
    <t>Neto cena/kvm</t>
  </si>
  <si>
    <t>Cena netto/m2</t>
  </si>
  <si>
    <t>Preço Liquído/m2</t>
  </si>
  <si>
    <t>Preț net/mp</t>
  </si>
  <si>
    <t>Чистая цена/кв.м</t>
  </si>
  <si>
    <t>Čistá cena/m²</t>
  </si>
  <si>
    <t>Neto cena/kvadratni meter</t>
  </si>
  <si>
    <t>Precio neto/m²</t>
  </si>
  <si>
    <t>Nettopris/kvm</t>
  </si>
  <si>
    <t>Nettopreis/qm</t>
  </si>
  <si>
    <t>Net fiyat/metrekare</t>
  </si>
  <si>
    <t>kedvezményes ár/nm</t>
  </si>
  <si>
    <t>Costo Materiale + altre spese/mq</t>
  </si>
  <si>
    <t>Cena materiálu + ostatní náklady/m2</t>
  </si>
  <si>
    <t>材料成本+其他费用/平方米</t>
  </si>
  <si>
    <t>TROŠAK MATERIJALA+OSTALI TROŠKOVI/M2</t>
  </si>
  <si>
    <t>Coût des matériaux + autres dépenses/m².</t>
  </si>
  <si>
    <t>材料費＋その他経費/㎡</t>
  </si>
  <si>
    <t>Κόστος υλικού + λοιπά έξοδα/τμ</t>
  </si>
  <si>
    <t>Material cost + other expenses/sqm</t>
  </si>
  <si>
    <t>Materiālu izmaksas + citi izdevumi/kvm</t>
  </si>
  <si>
    <t>Koszt materiałów + inne wydatki/m2</t>
  </si>
  <si>
    <t>Custo Material + outras despesas/m2</t>
  </si>
  <si>
    <t>Costul materialelor + alte cheltuieli/mp</t>
  </si>
  <si>
    <t>Стоимость материала + прочие расходы/кв.м</t>
  </si>
  <si>
    <t>Náklady na materiál + ostatné náklady/ m2</t>
  </si>
  <si>
    <t>Stroški materiala + drugi stroški/kvadratni meter</t>
  </si>
  <si>
    <t>Coste del material + otros gastos/m2</t>
  </si>
  <si>
    <t>Materialkostnad + övriga kostnader/kvm</t>
  </si>
  <si>
    <t>Materialkosten + sonstige Kosten/qm</t>
  </si>
  <si>
    <t>Malzeme maliyeti + diğer giderler/metrekare</t>
  </si>
  <si>
    <t>anyagköltség+egyéb költségek/nm</t>
  </si>
  <si>
    <t>Tipo Installazione</t>
  </si>
  <si>
    <t>Typ instalace</t>
  </si>
  <si>
    <t>安装类型</t>
  </si>
  <si>
    <t>TIP INSTALACIJE</t>
  </si>
  <si>
    <t>Type d'installation</t>
  </si>
  <si>
    <t>インストールタイプ</t>
  </si>
  <si>
    <t>Τύπος εγκατάστασης</t>
  </si>
  <si>
    <t>Installation type</t>
  </si>
  <si>
    <t>Uzstādīšanas veids</t>
  </si>
  <si>
    <t>Typ instalacji</t>
  </si>
  <si>
    <t>Tipo de Instalação</t>
  </si>
  <si>
    <t>Tipul de instalare</t>
  </si>
  <si>
    <t>Тип установки</t>
  </si>
  <si>
    <t>Typ Inštalácia</t>
  </si>
  <si>
    <t>Vrsta Namestitev</t>
  </si>
  <si>
    <t>Tipo de instalación</t>
  </si>
  <si>
    <t>Typ Installation</t>
  </si>
  <si>
    <t>Einbauart</t>
  </si>
  <si>
    <t>Tip Kurulum</t>
  </si>
  <si>
    <t>Szerelés típusa</t>
  </si>
  <si>
    <t>Schema</t>
  </si>
  <si>
    <t>Schéma</t>
  </si>
  <si>
    <t>计划</t>
  </si>
  <si>
    <t>SHEMA</t>
  </si>
  <si>
    <t>スキーム</t>
  </si>
  <si>
    <t>Σχέδιο</t>
  </si>
  <si>
    <t>Scheme</t>
  </si>
  <si>
    <t>Shēma</t>
  </si>
  <si>
    <t>Schemat</t>
  </si>
  <si>
    <t>Esquema</t>
  </si>
  <si>
    <t>Схема</t>
  </si>
  <si>
    <t>Shema</t>
  </si>
  <si>
    <t>Ordning</t>
  </si>
  <si>
    <t>Şema</t>
  </si>
  <si>
    <t>minta</t>
  </si>
  <si>
    <t>Listello 40x50 mm</t>
  </si>
  <si>
    <t>Lať 40x50 mm</t>
  </si>
  <si>
    <t>板条40x50毫米</t>
  </si>
  <si>
    <t>LETVA 40X50 MM</t>
  </si>
  <si>
    <t>Bande de 40x50 mm</t>
  </si>
  <si>
    <t>桟40×50mm</t>
  </si>
  <si>
    <t>Δοκαρι 40x50 mm</t>
  </si>
  <si>
    <t>Batten 40x50 mm</t>
  </si>
  <si>
    <t>Līste 40x50 mm</t>
  </si>
  <si>
    <t>Listwa 40x50 mm</t>
  </si>
  <si>
    <t>Sarrafo 40x50 mm</t>
  </si>
  <si>
    <t>Lat 40x50 mm</t>
  </si>
  <si>
    <t>Планка 40x50 мм</t>
  </si>
  <si>
    <t>Lišta 40x50 mm</t>
  </si>
  <si>
    <t>Lamela 40x50 mm</t>
  </si>
  <si>
    <t>Listón 40x50 mm</t>
  </si>
  <si>
    <t>Lath 40x50 mm</t>
  </si>
  <si>
    <t>Latte 40x50 mm</t>
  </si>
  <si>
    <t>Çıta 40x50 mm</t>
  </si>
  <si>
    <t>cserépléc</t>
  </si>
  <si>
    <t>Omega "L" 30x30x2 mm</t>
  </si>
  <si>
    <t>Omega“L”30x30x2毫米</t>
  </si>
  <si>
    <t>オメガ "L" 30x30x2 mm</t>
  </si>
  <si>
    <t>Omega 'L' 30x30x2 mm</t>
  </si>
  <si>
    <t>Омега 'L' 30x30x2 мм</t>
  </si>
  <si>
    <t>LBB4030 40x3 mm</t>
  </si>
  <si>
    <t>LBB430 40x3毫米</t>
  </si>
  <si>
    <t>LBB4030 40x3 χλστ</t>
  </si>
  <si>
    <t>LBB4030 40x3 мм</t>
  </si>
  <si>
    <t>Accessorio di Fissaggio</t>
  </si>
  <si>
    <t>Upevňovací příslušenství</t>
  </si>
  <si>
    <t>固定配件</t>
  </si>
  <si>
    <t>PRIBOR ZA PRIČVRŠĆIVANJE</t>
  </si>
  <si>
    <t>Accessoire de fixation</t>
  </si>
  <si>
    <t>締結用アクセサリー</t>
  </si>
  <si>
    <t>Εξάρτημα στερέωσης</t>
  </si>
  <si>
    <t>Fixing accessory</t>
  </si>
  <si>
    <t>Fiksācijas piederums</t>
  </si>
  <si>
    <t>Akcesoria do mocowania</t>
  </si>
  <si>
    <t>Acessórios de Fixação</t>
  </si>
  <si>
    <t>Accesoriu de fixare</t>
  </si>
  <si>
    <t>Крепежный аксессуар</t>
  </si>
  <si>
    <t>Upevňovacie príslušenstvo</t>
  </si>
  <si>
    <t>Oprema za pritrjevanje</t>
  </si>
  <si>
    <t>Accesorio de fijación</t>
  </si>
  <si>
    <t>Tillbehör för fastsättning</t>
  </si>
  <si>
    <t>Zubehör für die Befestigung</t>
  </si>
  <si>
    <t>Sabitleme aksesuarı</t>
  </si>
  <si>
    <t>Rögzítő tartozékok</t>
  </si>
  <si>
    <t>PRODOTTO SU RICHIESTA</t>
  </si>
  <si>
    <t>Produkt na vyžádání</t>
  </si>
  <si>
    <t>按要求提供产品</t>
  </si>
  <si>
    <t>PROIZVOD NA ZAHTJEV</t>
  </si>
  <si>
    <t>PRODUIT SUR DEMANDE</t>
  </si>
  <si>
    <t>要望への対応品</t>
  </si>
  <si>
    <t>ΠΡΟΪΟΝ ΚΑΤΟΠΙΝ ΑΙΤΗΣΗΣ</t>
  </si>
  <si>
    <t>PRODUCT ON REQUEST</t>
  </si>
  <si>
    <t>PRECES PĒC PIEPRASĪJUMA</t>
  </si>
  <si>
    <t>PRODUKT NA ZAMÓWIENIE</t>
  </si>
  <si>
    <t>PRODUTO SOBRE PEDIDO ESPECIAL</t>
  </si>
  <si>
    <t>PRODUS LA CERERE</t>
  </si>
  <si>
    <t>ПРОДУКТ ПО ЗАПРОСУ</t>
  </si>
  <si>
    <t>VÝROBOK NA POŽIADANIE</t>
  </si>
  <si>
    <t>IZDELEK NA ZAHTEVO</t>
  </si>
  <si>
    <t>PRODUCTO solicitado</t>
  </si>
  <si>
    <t>PRODUKT PÅ BEGÄRAN</t>
  </si>
  <si>
    <t>PRODUKT AUF ANFRAGE</t>
  </si>
  <si>
    <t>ISTEK ÜZERINE ÜRÜN</t>
  </si>
  <si>
    <t>Termék rendelésre</t>
  </si>
  <si>
    <t>TIPO DI SISTEMA</t>
  </si>
  <si>
    <t>Typ systému</t>
  </si>
  <si>
    <t>系统类型</t>
  </si>
  <si>
    <t>TIP SISTEMA</t>
  </si>
  <si>
    <t>TYPE DE SYSTÈME</t>
  </si>
  <si>
    <t>システムタイプ</t>
  </si>
  <si>
    <t>ΤΥΠΟΣ ΣΥΣΤΗΜΑΤΟΣ</t>
  </si>
  <si>
    <t>SYSTEM TYPE</t>
  </si>
  <si>
    <t>SISTĒMAS VEIDS</t>
  </si>
  <si>
    <t>RODZAJ SYSTEMU</t>
  </si>
  <si>
    <t>TIPO DE SISTEMA</t>
  </si>
  <si>
    <t>TIP DE SISTEM</t>
  </si>
  <si>
    <t>ТИП СИСТЕМЫ</t>
  </si>
  <si>
    <t>TYP SYSTÉMU</t>
  </si>
  <si>
    <t>VRSTA SISTEMA</t>
  </si>
  <si>
    <t>SYSTEM TYP</t>
  </si>
  <si>
    <t>SYSTEMTYP</t>
  </si>
  <si>
    <t>SİSTEM TİPİ</t>
  </si>
  <si>
    <t>Rendszer fajtája</t>
  </si>
  <si>
    <t>Altezza Supporto</t>
  </si>
  <si>
    <t>Výška podpěry</t>
  </si>
  <si>
    <t>支撑高度</t>
  </si>
  <si>
    <t>VISINA POTPORNJA</t>
  </si>
  <si>
    <t>Hauteur du support</t>
  </si>
  <si>
    <t>高さ方向のサポート</t>
  </si>
  <si>
    <t>Ύψος στήριξης</t>
  </si>
  <si>
    <t>Support height</t>
  </si>
  <si>
    <t>Atbalsta augstums</t>
  </si>
  <si>
    <t>Wysokość podparcia</t>
  </si>
  <si>
    <t>Altura do suporte</t>
  </si>
  <si>
    <t>Suport de înălțime</t>
  </si>
  <si>
    <t>Поддержка высоты</t>
  </si>
  <si>
    <t>Podpora výšky</t>
  </si>
  <si>
    <t>Podpora za višino</t>
  </si>
  <si>
    <t>Altura del soporte</t>
  </si>
  <si>
    <t>Stöd för höjd</t>
  </si>
  <si>
    <t>Höhe der Stütze</t>
  </si>
  <si>
    <t>Yükseklik Desteği</t>
  </si>
  <si>
    <t>Támaszték magassága</t>
  </si>
  <si>
    <t>Scaletta</t>
  </si>
  <si>
    <t>Žebřík</t>
  </si>
  <si>
    <t>梯子</t>
  </si>
  <si>
    <t>LJESTVE</t>
  </si>
  <si>
    <t>Échelle</t>
  </si>
  <si>
    <t>Σκάλα</t>
  </si>
  <si>
    <t>Ladder</t>
  </si>
  <si>
    <t>Kāpnes</t>
  </si>
  <si>
    <t>Drabina</t>
  </si>
  <si>
    <t>Escada</t>
  </si>
  <si>
    <t>Scară</t>
  </si>
  <si>
    <t>Лестница</t>
  </si>
  <si>
    <t>Rebrík</t>
  </si>
  <si>
    <t>Lestev</t>
  </si>
  <si>
    <t>Escalera</t>
  </si>
  <si>
    <t>Stege</t>
  </si>
  <si>
    <t>Leiter</t>
  </si>
  <si>
    <t>Merdiven</t>
  </si>
  <si>
    <t>létra</t>
  </si>
  <si>
    <t>Con ancoranti</t>
  </si>
  <si>
    <t>S kotvami</t>
  </si>
  <si>
    <t>用锚固点</t>
  </si>
  <si>
    <t>SA SIDRIMA</t>
  </si>
  <si>
    <t>Avec ancrages</t>
  </si>
  <si>
    <t>アンカー付き</t>
  </si>
  <si>
    <t>Με άγκυρες</t>
  </si>
  <si>
    <t>With anchors</t>
  </si>
  <si>
    <t>Ar enkuriem</t>
  </si>
  <si>
    <t>Z kotwami</t>
  </si>
  <si>
    <t>com ancorante</t>
  </si>
  <si>
    <t>Cu ancore</t>
  </si>
  <si>
    <t>С якорями</t>
  </si>
  <si>
    <t>S sidrišči</t>
  </si>
  <si>
    <t>Con anclajes</t>
  </si>
  <si>
    <t>Med ankare</t>
  </si>
  <si>
    <t>Mit Verankerungen</t>
  </si>
  <si>
    <t>Ankrajlar ile</t>
  </si>
  <si>
    <t>rögzítőkkel</t>
  </si>
  <si>
    <t>Con zavorra</t>
  </si>
  <si>
    <t>Se zátěží</t>
  </si>
  <si>
    <t>带压舱物</t>
  </si>
  <si>
    <t>SA TERETOM</t>
  </si>
  <si>
    <t>Avec ballast</t>
  </si>
  <si>
    <t>バラスト付き</t>
  </si>
  <si>
    <t>Με έρμα</t>
  </si>
  <si>
    <t>With ballast</t>
  </si>
  <si>
    <t>Ar balastu</t>
  </si>
  <si>
    <t>Z balastem</t>
  </si>
  <si>
    <t>com balastro</t>
  </si>
  <si>
    <t>Cu balast</t>
  </si>
  <si>
    <t>С балластом</t>
  </si>
  <si>
    <t>So záťažou</t>
  </si>
  <si>
    <t>Z balastom</t>
  </si>
  <si>
    <t>Con lastre</t>
  </si>
  <si>
    <t>Med ballast</t>
  </si>
  <si>
    <t>Mit Auflast</t>
  </si>
  <si>
    <t>Balast ile</t>
  </si>
  <si>
    <t>ellensúllyal</t>
  </si>
  <si>
    <t>Piano + parapetti</t>
  </si>
  <si>
    <t>Podlaha + zábradlí</t>
  </si>
  <si>
    <t>地板+护栏</t>
  </si>
  <si>
    <t>POD+TRAČNICA</t>
  </si>
  <si>
    <t>Plancher + garde-corps</t>
  </si>
  <si>
    <t>床＋手すり</t>
  </si>
  <si>
    <t>Δάπεδο + προστατευτικό κιγκλίδωμα</t>
  </si>
  <si>
    <t>Floor + guardrail</t>
  </si>
  <si>
    <t>Grīda + margas</t>
  </si>
  <si>
    <t>Podłoga + poręcz</t>
  </si>
  <si>
    <t>pavimento + parapeito</t>
  </si>
  <si>
    <t>Podele + balustrade</t>
  </si>
  <si>
    <t>Пол + перила</t>
  </si>
  <si>
    <t>Podlaha + zábradlie</t>
  </si>
  <si>
    <t>Tla + ograje</t>
  </si>
  <si>
    <t>Suelo + barandilla</t>
  </si>
  <si>
    <t>Golv + räcken</t>
  </si>
  <si>
    <t>Boden + Geländer</t>
  </si>
  <si>
    <t>Zemin + korkuluklar</t>
  </si>
  <si>
    <t>padló + korlát</t>
  </si>
  <si>
    <t>Utile</t>
  </si>
  <si>
    <t>Užitečný</t>
  </si>
  <si>
    <t>有用的</t>
  </si>
  <si>
    <t>KORISTAN</t>
  </si>
  <si>
    <t>便利な</t>
  </si>
  <si>
    <t>Χρήσιμος</t>
  </si>
  <si>
    <t>Useful</t>
  </si>
  <si>
    <t>Noderīga</t>
  </si>
  <si>
    <t>Użyteczne</t>
  </si>
  <si>
    <t>útil</t>
  </si>
  <si>
    <t>Util</t>
  </si>
  <si>
    <t>Полезное</t>
  </si>
  <si>
    <t>Užitočné</t>
  </si>
  <si>
    <t>Uporabno</t>
  </si>
  <si>
    <t>Útil</t>
  </si>
  <si>
    <t>Användbar</t>
  </si>
  <si>
    <t>Nützlich</t>
  </si>
  <si>
    <t>Faydalı</t>
  </si>
  <si>
    <t>hasznos</t>
  </si>
  <si>
    <t>Altezza</t>
  </si>
  <si>
    <t>Výška</t>
  </si>
  <si>
    <t>身高</t>
  </si>
  <si>
    <t>VISINA</t>
  </si>
  <si>
    <t>Hauteur</t>
  </si>
  <si>
    <t>高さ</t>
  </si>
  <si>
    <t>Υψος</t>
  </si>
  <si>
    <t>Height</t>
  </si>
  <si>
    <t>Augstums</t>
  </si>
  <si>
    <t>Wysokość</t>
  </si>
  <si>
    <t>Altura</t>
  </si>
  <si>
    <t>Înălțime</t>
  </si>
  <si>
    <t>Высота</t>
  </si>
  <si>
    <t>Višina</t>
  </si>
  <si>
    <t>Höjd</t>
  </si>
  <si>
    <t>Höhe</t>
  </si>
  <si>
    <t>Yükseklik</t>
  </si>
  <si>
    <t>magasság</t>
  </si>
  <si>
    <t>Linea Vita Orizzontale</t>
  </si>
  <si>
    <t>Horizontální lankový systém</t>
  </si>
  <si>
    <t>水平生命线</t>
  </si>
  <si>
    <t>HORIZONTALNA LINIJA ŽIVOTA</t>
  </si>
  <si>
    <t>Ligne de vie horizontale</t>
  </si>
  <si>
    <t>水平ライフライン</t>
  </si>
  <si>
    <t>Οριζόντια σανίδα σωτηρίας</t>
  </si>
  <si>
    <t>Horizontal lifeline</t>
  </si>
  <si>
    <t>Horizontālā glābšanas līnija</t>
  </si>
  <si>
    <t>Pozioma linia życia</t>
  </si>
  <si>
    <t>Linha de Vida Horizontal</t>
  </si>
  <si>
    <t>Linie de salvare orizontală</t>
  </si>
  <si>
    <t>Горизонтальный спасательный круг</t>
  </si>
  <si>
    <t>Horizontálne záchranné lano</t>
  </si>
  <si>
    <t>Vodoravna rešilna vrv</t>
  </si>
  <si>
    <t>Línea de vida horizontal</t>
  </si>
  <si>
    <t>Horisontell livlina</t>
  </si>
  <si>
    <t>Horizontale Lebenslinie</t>
  </si>
  <si>
    <t>Yatay yaşam hattı</t>
  </si>
  <si>
    <t>vízszintes kikötési rendszer</t>
  </si>
  <si>
    <t>Scalini</t>
  </si>
  <si>
    <t>Kroky</t>
  </si>
  <si>
    <t>台阶</t>
  </si>
  <si>
    <t>STEPENICE</t>
  </si>
  <si>
    <t>Étapes</t>
  </si>
  <si>
    <t>階段</t>
  </si>
  <si>
    <t>Σκαλιά</t>
  </si>
  <si>
    <t>Steps</t>
  </si>
  <si>
    <t>Soļi</t>
  </si>
  <si>
    <t>Kroki</t>
  </si>
  <si>
    <t>Degraus</t>
  </si>
  <si>
    <t>Pași</t>
  </si>
  <si>
    <t>Шаги</t>
  </si>
  <si>
    <t>Koraki</t>
  </si>
  <si>
    <t>escalones</t>
  </si>
  <si>
    <t>Steg</t>
  </si>
  <si>
    <t>Tritte</t>
  </si>
  <si>
    <t>Adımlar</t>
  </si>
  <si>
    <t>lépés</t>
  </si>
  <si>
    <t>Compilare</t>
  </si>
  <si>
    <t>Vyplnit</t>
  </si>
  <si>
    <t>填补</t>
  </si>
  <si>
    <t>ISPUNITI</t>
  </si>
  <si>
    <t>Remplir</t>
  </si>
  <si>
    <t>入力する</t>
  </si>
  <si>
    <t>Να γεμιστεί</t>
  </si>
  <si>
    <t>Fill in</t>
  </si>
  <si>
    <t>Piepildīt</t>
  </si>
  <si>
    <t>Wypełnić</t>
  </si>
  <si>
    <t>Preencher</t>
  </si>
  <si>
    <t>Completați</t>
  </si>
  <si>
    <t>Заполнить</t>
  </si>
  <si>
    <t>Vyplňte</t>
  </si>
  <si>
    <t>Izpolnite</t>
  </si>
  <si>
    <t>Rellenar</t>
  </si>
  <si>
    <t>Fyll i</t>
  </si>
  <si>
    <t>ausfüllen</t>
  </si>
  <si>
    <t>Doldurun</t>
  </si>
  <si>
    <t>kitölteni</t>
  </si>
  <si>
    <t>Materiale</t>
  </si>
  <si>
    <t>Materiál</t>
  </si>
  <si>
    <t>材料</t>
  </si>
  <si>
    <t>MATERIJAL</t>
  </si>
  <si>
    <t>Matériau</t>
  </si>
  <si>
    <t>Υλικό</t>
  </si>
  <si>
    <t>Material</t>
  </si>
  <si>
    <t>Materiāls</t>
  </si>
  <si>
    <t>Materiał</t>
  </si>
  <si>
    <t>Материал</t>
  </si>
  <si>
    <t xml:space="preserve">Material </t>
  </si>
  <si>
    <t>Malzeme</t>
  </si>
  <si>
    <t>anyag</t>
  </si>
  <si>
    <t>Su copertura con Shed</t>
  </si>
  <si>
    <t>Na střeše přístřešku</t>
  </si>
  <si>
    <t>棚顶</t>
  </si>
  <si>
    <t>NA NAGNUTOM KROVU</t>
  </si>
  <si>
    <t>En couverture avec Shed</t>
  </si>
  <si>
    <t>片流れ屋根の上</t>
  </si>
  <si>
    <t>Στη στέγη του υπόστεγου</t>
  </si>
  <si>
    <t>On cover with Shed</t>
  </si>
  <si>
    <t>Uz nojumes jumta</t>
  </si>
  <si>
    <t>Na dachu skośnym</t>
  </si>
  <si>
    <t>Sobre cobertura com Shed</t>
  </si>
  <si>
    <t>Pe acoperișul șopronului</t>
  </si>
  <si>
    <t>На крыше сарая</t>
  </si>
  <si>
    <t>Na streche prístrešku</t>
  </si>
  <si>
    <t>Na strehi nadstreška</t>
  </si>
  <si>
    <t>Cubierta con shed</t>
  </si>
  <si>
    <t>På taket till skjulet</t>
  </si>
  <si>
    <t>für Scheddach/Trapezblechdach</t>
  </si>
  <si>
    <t>Baraka çatısında</t>
  </si>
  <si>
    <t>magastetőn</t>
  </si>
  <si>
    <t>Su copertura piana</t>
  </si>
  <si>
    <t>Na ploché střeše</t>
  </si>
  <si>
    <t>在平屋顶上</t>
  </si>
  <si>
    <t>NA RAVNOM KROVU</t>
  </si>
  <si>
    <t>Sur un toit plat</t>
  </si>
  <si>
    <t>陸屋根の上</t>
  </si>
  <si>
    <t>Σε επίπεδη στέγη</t>
  </si>
  <si>
    <t>On flat roof</t>
  </si>
  <si>
    <t>Uz plakana jumta</t>
  </si>
  <si>
    <t>Na płaskim dachu</t>
  </si>
  <si>
    <t>Sobre cobertura plana</t>
  </si>
  <si>
    <t>Pe acoperiș plat</t>
  </si>
  <si>
    <t>На плоской крыше</t>
  </si>
  <si>
    <t>Na plochej streche</t>
  </si>
  <si>
    <t>Na ravni strehi</t>
  </si>
  <si>
    <t>Cubierta plana</t>
  </si>
  <si>
    <t>På platta tak</t>
  </si>
  <si>
    <t>für Flachdach</t>
  </si>
  <si>
    <t>Düz çatıda</t>
  </si>
  <si>
    <t>lapostetőn</t>
  </si>
  <si>
    <t>Su copertura con pannelli sandwich</t>
  </si>
  <si>
    <t>Na střeše se sendvičovými panely</t>
  </si>
  <si>
    <t>在夹芯板屋顶上</t>
  </si>
  <si>
    <t>NA KROVU OD SENDVIĆ PANELA</t>
  </si>
  <si>
    <t>Sur le toit avec des panneaux sandwichs</t>
  </si>
  <si>
    <t>サンドイッチパネル屋根の上</t>
  </si>
  <si>
    <t>Στην οροφή με πάνελ σάντουιτς</t>
  </si>
  <si>
    <t>On roof with sandwich panels</t>
  </si>
  <si>
    <t>Uz jumta ar sendvičpaneļiem</t>
  </si>
  <si>
    <t>Na dachu z płyt warstwowych</t>
  </si>
  <si>
    <t>Sobre cobertura com painel sandwich</t>
  </si>
  <si>
    <t>Pe acoperiș cu panouri sandwich</t>
  </si>
  <si>
    <t>На крыше с использованием сэндвич-панелей</t>
  </si>
  <si>
    <t>Na streche so sendvičovými panelmi</t>
  </si>
  <si>
    <t>Na strehi s sendvič ploščami</t>
  </si>
  <si>
    <t>Cubierta con panel sandwich</t>
  </si>
  <si>
    <t>På tak med sandwichpaneler</t>
  </si>
  <si>
    <t>für Sandwichdach</t>
  </si>
  <si>
    <t>Sandviç panelli çatıda</t>
  </si>
  <si>
    <t>szendvicspanel tetőn</t>
  </si>
  <si>
    <t>Freccia/altezza Shed</t>
  </si>
  <si>
    <t>Šipka /výška haly</t>
  </si>
  <si>
    <t>箭头/高度棚</t>
  </si>
  <si>
    <t>STRELICA/</t>
  </si>
  <si>
    <t>Flèche/hauteur Hangar</t>
  </si>
  <si>
    <t>矢印/高さ 片流れ屋根</t>
  </si>
  <si>
    <t>Υπόστεγο βέλους/ύψους</t>
  </si>
  <si>
    <t>Arrow/height Shed</t>
  </si>
  <si>
    <t>Bulta/augstums Šķūnis</t>
  </si>
  <si>
    <t xml:space="preserve">Strzałka/wysokość </t>
  </si>
  <si>
    <t>altura Shed</t>
  </si>
  <si>
    <t>Săgeată/înălțime Șopron</t>
  </si>
  <si>
    <t>Стрела/высота Сарай</t>
  </si>
  <si>
    <t>Šípka/výška Prístrešok</t>
  </si>
  <si>
    <t>Puščica/višina Nadstrešek</t>
  </si>
  <si>
    <t>Flecha/altura shed</t>
  </si>
  <si>
    <t>Pil/höjd Skjul</t>
  </si>
  <si>
    <t>Pfeil/Höhe Shed</t>
  </si>
  <si>
    <t>Ok/yükseklik Sundurma</t>
  </si>
  <si>
    <t>Nyíl/magasság Shed</t>
  </si>
  <si>
    <t>Interasse Travi Y</t>
  </si>
  <si>
    <t>Vzdálenost mezi nosníky Y</t>
  </si>
  <si>
    <t>梁间距Y</t>
  </si>
  <si>
    <t>UDALJENOST IZMEĐU GREDA Y</t>
  </si>
  <si>
    <t>Distance entre les poutres Y</t>
  </si>
  <si>
    <t>梁間の距離 Y</t>
  </si>
  <si>
    <t>Απόσταση μεταξύ δοκών Υ</t>
  </si>
  <si>
    <t>Distance between beams Y</t>
  </si>
  <si>
    <t>Attālums starp sijām Y</t>
  </si>
  <si>
    <t>Odległość między belkami Y</t>
  </si>
  <si>
    <t>vão entre viga Y</t>
  </si>
  <si>
    <t>Distanța dintre grinzi Y</t>
  </si>
  <si>
    <t>Расстояние между балками Y</t>
  </si>
  <si>
    <t>Vzdialenosť nosníkov Y</t>
  </si>
  <si>
    <t>Razmik med nosilci Y</t>
  </si>
  <si>
    <t>Intereje vigas Y</t>
  </si>
  <si>
    <t>Avstånd mellan balkarna Y</t>
  </si>
  <si>
    <t>Balkenabstand</t>
  </si>
  <si>
    <t>Kiriş aralığı Y</t>
  </si>
  <si>
    <t>Gerendák közötti távolság Y</t>
  </si>
  <si>
    <t>Direzione Passerella</t>
  </si>
  <si>
    <t>Směr cesty</t>
  </si>
  <si>
    <t>走道方向</t>
  </si>
  <si>
    <t>SMJER STAZE ZA HODANJE</t>
  </si>
  <si>
    <t>Direction de la passerelle</t>
  </si>
  <si>
    <t>通路の方向</t>
  </si>
  <si>
    <t>Κατεύθυνση πεζοδρομίου</t>
  </si>
  <si>
    <t>Walkway direction</t>
  </si>
  <si>
    <t>Gājiena virziens</t>
  </si>
  <si>
    <t>Kierunek chodnika</t>
  </si>
  <si>
    <t>Direção do Passadiço</t>
  </si>
  <si>
    <t>Direcția pasarelei</t>
  </si>
  <si>
    <t>Направление пешеходной дорожки</t>
  </si>
  <si>
    <t>Smer chodníka</t>
  </si>
  <si>
    <t>Smer sprehajalne poti</t>
  </si>
  <si>
    <t>Dirección pasarela</t>
  </si>
  <si>
    <t>Gångbanans riktning</t>
  </si>
  <si>
    <t>Laufstegrichtung</t>
  </si>
  <si>
    <t>Yürüyüş yolu yönü</t>
  </si>
  <si>
    <t>Haladási irány</t>
  </si>
  <si>
    <t>Distanziamento da muro</t>
  </si>
  <si>
    <t>Vzdálenost od zdi</t>
  </si>
  <si>
    <t>离墙的距离</t>
  </si>
  <si>
    <t>UDALJENOST OD ZIDA</t>
  </si>
  <si>
    <t>Distance par rapport au mur</t>
  </si>
  <si>
    <t>壁面からの距離</t>
  </si>
  <si>
    <t>Απόσταση από τοίχο</t>
  </si>
  <si>
    <t>Distance from wall</t>
  </si>
  <si>
    <t>Attālums no sienas</t>
  </si>
  <si>
    <t>Odległość od ściany</t>
  </si>
  <si>
    <t>Distância ao muro</t>
  </si>
  <si>
    <t>Distanța față de perete</t>
  </si>
  <si>
    <t>Расстояние от стены</t>
  </si>
  <si>
    <t>Vzdialenosť od steny</t>
  </si>
  <si>
    <t>Oddaljenost od stene</t>
  </si>
  <si>
    <t>separación del muro</t>
  </si>
  <si>
    <t>Avstånd från väggen</t>
  </si>
  <si>
    <t>Abstand zur Mauer</t>
  </si>
  <si>
    <t>Duvara olan mesafe</t>
  </si>
  <si>
    <t>faltól mért távolság</t>
  </si>
  <si>
    <t>Interasse mensole</t>
  </si>
  <si>
    <t>Rozestup držáků</t>
  </si>
  <si>
    <t>支架间距</t>
  </si>
  <si>
    <t>UDALJENOST IZMEĐU NOSAČA</t>
  </si>
  <si>
    <t>Espacement des supports</t>
  </si>
  <si>
    <t>ブラケット間隔</t>
  </si>
  <si>
    <t>Διάστιχο βραχίονα</t>
  </si>
  <si>
    <t>Bracket spacing</t>
  </si>
  <si>
    <t>Kronšteinu atstatums</t>
  </si>
  <si>
    <t>Rozstaw wsporników</t>
  </si>
  <si>
    <t>Distância entre Brackets</t>
  </si>
  <si>
    <t>Distanța dintre suporturi</t>
  </si>
  <si>
    <t>Расстояние между кронштейнами</t>
  </si>
  <si>
    <t>Vzdialenosť medzi konzolami</t>
  </si>
  <si>
    <t>Razmik med nosilci</t>
  </si>
  <si>
    <t>Intereje mensula</t>
  </si>
  <si>
    <t>Avstånd mellan konsoler</t>
  </si>
  <si>
    <t>Abstand zwischen den Klammern</t>
  </si>
  <si>
    <t>Braket aralığı</t>
  </si>
  <si>
    <t>keret távolsága</t>
  </si>
  <si>
    <t>Accesso laterale</t>
  </si>
  <si>
    <t>Boční vstup</t>
  </si>
  <si>
    <t>侧面通道</t>
  </si>
  <si>
    <t>BOČNI PRISTUP</t>
  </si>
  <si>
    <t>Accès latéral</t>
  </si>
  <si>
    <t>側面アクセス</t>
  </si>
  <si>
    <t>Πλευρική πρόσβαση</t>
  </si>
  <si>
    <t>Side access</t>
  </si>
  <si>
    <t>Sānu piekļuve</t>
  </si>
  <si>
    <t>Dostęp z boku</t>
  </si>
  <si>
    <t>Acesso lateral</t>
  </si>
  <si>
    <t>Acces lateral</t>
  </si>
  <si>
    <t>Боковой доступ</t>
  </si>
  <si>
    <t>Bočný prístup</t>
  </si>
  <si>
    <t>Stranski dostop</t>
  </si>
  <si>
    <t>Acceso lateral</t>
  </si>
  <si>
    <t>Tillträde på sidan</t>
  </si>
  <si>
    <t>seitlicher Zugang</t>
  </si>
  <si>
    <t>Yan erişim</t>
  </si>
  <si>
    <t>Oldal irányú feljutási pont</t>
  </si>
  <si>
    <t>Accesso frontale</t>
  </si>
  <si>
    <t>Přední vstup</t>
  </si>
  <si>
    <t>正面通道</t>
  </si>
  <si>
    <t>PRISTUP OD NAPRIJED</t>
  </si>
  <si>
    <t>Accès frontal</t>
  </si>
  <si>
    <t>前面アクセス</t>
  </si>
  <si>
    <t>Μπροστινή πρόσβαση</t>
  </si>
  <si>
    <t>Frontal access</t>
  </si>
  <si>
    <t>Frontāla piekļuve</t>
  </si>
  <si>
    <t>Dostęp od przodu</t>
  </si>
  <si>
    <t>Acesso frontal</t>
  </si>
  <si>
    <t>Accesul frontal</t>
  </si>
  <si>
    <t>Фронтальный доступ</t>
  </si>
  <si>
    <t>Čelný prístup</t>
  </si>
  <si>
    <t>Frontalni dostop</t>
  </si>
  <si>
    <t>acceso frontal</t>
  </si>
  <si>
    <t>Tillträde framifrån</t>
  </si>
  <si>
    <t>vorderer Zugang</t>
  </si>
  <si>
    <t>Önden erişim</t>
  </si>
  <si>
    <t>Feljutási pont</t>
  </si>
  <si>
    <t>Parapetti Laterali</t>
  </si>
  <si>
    <t>Boční zábradlí</t>
  </si>
  <si>
    <t>侧栏杆</t>
  </si>
  <si>
    <t>BOČNE TRAČNICE</t>
  </si>
  <si>
    <t>Rampes latérales</t>
  </si>
  <si>
    <t>側面パラペット</t>
  </si>
  <si>
    <t>Πλαϊνά κάγκελα</t>
  </si>
  <si>
    <t>Side railings</t>
  </si>
  <si>
    <t>Sānu margas</t>
  </si>
  <si>
    <t>Balustrady boczne</t>
  </si>
  <si>
    <t>Parapeitos laterais</t>
  </si>
  <si>
    <t>Balustrade laterale</t>
  </si>
  <si>
    <t>Боковые ограждения</t>
  </si>
  <si>
    <t>Bočné zábradlia</t>
  </si>
  <si>
    <t>Stranske ograje</t>
  </si>
  <si>
    <t>barandilla lateral</t>
  </si>
  <si>
    <t>Sidogrindar</t>
  </si>
  <si>
    <t>seitliche Geländer</t>
  </si>
  <si>
    <t>Yan korkuluklar</t>
  </si>
  <si>
    <t>oldalsó korlát</t>
  </si>
  <si>
    <t>Singolo lato</t>
  </si>
  <si>
    <t>Jedna strana</t>
  </si>
  <si>
    <t>单面</t>
  </si>
  <si>
    <t>S JEDNE STRANE</t>
  </si>
  <si>
    <t>Côté unique</t>
  </si>
  <si>
    <t>片面</t>
  </si>
  <si>
    <t>Μονή πλευρά</t>
  </si>
  <si>
    <t>Single side</t>
  </si>
  <si>
    <t>Viena puse</t>
  </si>
  <si>
    <t>Pojedyncza strona</t>
  </si>
  <si>
    <t>Unilateral</t>
  </si>
  <si>
    <t>O singură față</t>
  </si>
  <si>
    <t>Одна сторона</t>
  </si>
  <si>
    <t>Ena stran</t>
  </si>
  <si>
    <t>lado único</t>
  </si>
  <si>
    <t>Enkel sida</t>
  </si>
  <si>
    <t>einseitig</t>
  </si>
  <si>
    <t>Tek taraf</t>
  </si>
  <si>
    <t>egyik oldal</t>
  </si>
  <si>
    <t>Entrambi i lati</t>
  </si>
  <si>
    <t>Obě strany</t>
  </si>
  <si>
    <t>双面</t>
  </si>
  <si>
    <t>S OBJE STRANE</t>
  </si>
  <si>
    <t>Les deux côtés</t>
  </si>
  <si>
    <t>両側</t>
  </si>
  <si>
    <t>Δυο πλευρες</t>
  </si>
  <si>
    <t>Both sides</t>
  </si>
  <si>
    <t>Abas puses</t>
  </si>
  <si>
    <t>Obie strony</t>
  </si>
  <si>
    <t>Bilateral</t>
  </si>
  <si>
    <t>Ambele părți</t>
  </si>
  <si>
    <t>Обе стороны</t>
  </si>
  <si>
    <t>Obe strany</t>
  </si>
  <si>
    <t>Obe strani</t>
  </si>
  <si>
    <t>Ambos lados</t>
  </si>
  <si>
    <t>Båda sidorna</t>
  </si>
  <si>
    <t>zweiseitig</t>
  </si>
  <si>
    <t>Her İki Taraf</t>
  </si>
  <si>
    <t>mindkét oldal</t>
  </si>
  <si>
    <t>Tipo Accesso</t>
  </si>
  <si>
    <t>Typ Přístup</t>
  </si>
  <si>
    <t>类型访问</t>
  </si>
  <si>
    <t>Vrsta pristupa</t>
  </si>
  <si>
    <t>Type d'accès</t>
  </si>
  <si>
    <t>タイプアクセス</t>
  </si>
  <si>
    <t>Τύπος Πρόσβαση</t>
  </si>
  <si>
    <t>Type of access</t>
  </si>
  <si>
    <t>Tips Piekļuve</t>
  </si>
  <si>
    <t>Typ Dostęp</t>
  </si>
  <si>
    <t>Tipo Acesso</t>
  </si>
  <si>
    <t>Tipul de acces</t>
  </si>
  <si>
    <t>Тип доступа</t>
  </si>
  <si>
    <t>Typ prístupu</t>
  </si>
  <si>
    <t>Vrsta dostopa</t>
  </si>
  <si>
    <t>Tipo de acceso</t>
  </si>
  <si>
    <t>Typ av tillträde</t>
  </si>
  <si>
    <t>Art des Zugangs</t>
  </si>
  <si>
    <t>Erişim türü</t>
  </si>
  <si>
    <t>Típus Hozzáférés</t>
  </si>
  <si>
    <t>Shed</t>
  </si>
  <si>
    <t>Bouda</t>
  </si>
  <si>
    <t>棚屋</t>
  </si>
  <si>
    <t>šupa</t>
  </si>
  <si>
    <t>Hangar</t>
  </si>
  <si>
    <t>上屋</t>
  </si>
  <si>
    <t>Υπόστεγο</t>
  </si>
  <si>
    <t>Nojume</t>
  </si>
  <si>
    <t>Szopa</t>
  </si>
  <si>
    <t>Galpão</t>
  </si>
  <si>
    <t>Șopron</t>
  </si>
  <si>
    <t>Сарай</t>
  </si>
  <si>
    <t>Prístrešok</t>
  </si>
  <si>
    <t>Nadstrešek</t>
  </si>
  <si>
    <t>Cobertizo</t>
  </si>
  <si>
    <t>Skjul</t>
  </si>
  <si>
    <t>Schuppen</t>
  </si>
  <si>
    <t>Baraka</t>
  </si>
  <si>
    <t>ALTEZZA TOTALE SCALA</t>
  </si>
  <si>
    <t>CELKOVÁ VÝŠKA SCHODIŠTĚ</t>
  </si>
  <si>
    <t>楼梯总高度</t>
  </si>
  <si>
    <t>SKALA UKUPNE VISINE</t>
  </si>
  <si>
    <t>HAUTEUR TOTALE DE L'ESCALIER</t>
  </si>
  <si>
    <t>階段の総高さ</t>
  </si>
  <si>
    <t>ΣΥΝΟΛΙΚΌ ΎΨΟΣ ΣΚΆΛΑΣ</t>
  </si>
  <si>
    <t>TOTAL LADDER HEIGHT</t>
  </si>
  <si>
    <t>KOPĒJAIS KĀPŅU AUGSTUMS</t>
  </si>
  <si>
    <t>CAŁKOWITA WYSOKOŚĆ SCHODÓW</t>
  </si>
  <si>
    <t>ALTURA TOTAL DA ESCADA</t>
  </si>
  <si>
    <t>ÎNĂLȚIMEA TOTALĂ A SCĂRII</t>
  </si>
  <si>
    <t>ОБЩАЯ ВЫСОТА ЛЕСТНИЦЫ</t>
  </si>
  <si>
    <t>CELKOVÁ VÝŠKA SCHODOV</t>
  </si>
  <si>
    <t>SKUPNA VIŠINA STOPNIŠČA</t>
  </si>
  <si>
    <t>ALTURA TOTAL DE LA ESCALERA</t>
  </si>
  <si>
    <t>TOTAL HÖJD PÅ TRAPPAN</t>
  </si>
  <si>
    <t>GESAMTTREPPENHÖHE</t>
  </si>
  <si>
    <t>TOPLAM MERDIVEN YÜKSEKLIĞI</t>
  </si>
  <si>
    <t>TELJES LÉPCSŐMAGASSÁG</t>
  </si>
  <si>
    <t>PENULTIMO TRATTO INTERMEDIO</t>
  </si>
  <si>
    <t>PŘEDPOSLEDNÍ MEZITÍMNÍ ÚSEK</t>
  </si>
  <si>
    <t>倒数第二中级部</t>
  </si>
  <si>
    <t>PRETHODNI SREDNJI DIO</t>
  </si>
  <si>
    <t>AVANT-DERNIÈRE SECTION INTERMÉDIAIRE</t>
  </si>
  <si>
    <t>ちゅうばんせん</t>
  </si>
  <si>
    <t>ΠΡΟΤΕΛΕΥΤΑΊΟ ΕΝΔΙΆΜΕΣΟ ΤΜΉΜΑ</t>
  </si>
  <si>
    <t>PENULTIMATE INTERMEDIATE SECTION</t>
  </si>
  <si>
    <t>PRIEKŠPĒDĒJĀ STARPPOSMA SEKCIJA</t>
  </si>
  <si>
    <t>PRZEDOSTATNI ODCINEK POŚREDNI</t>
  </si>
  <si>
    <t>PENÚLTIMA SECÇÃO INTERMÉDIA</t>
  </si>
  <si>
    <t>PENULTIMA SECȚIUNE INTERMEDIARĂ</t>
  </si>
  <si>
    <t>ПРЕДПОСЛЕДНЯЯ ПРОМЕЖУТОЧНАЯ СЕКЦИЯ</t>
  </si>
  <si>
    <t>PREDPOSLEDNÁ PRIEBEŽNÁ ČASŤ</t>
  </si>
  <si>
    <t>PREDZADNJI VMESNI DEL</t>
  </si>
  <si>
    <t>PENÚLTIMA SECCIÓN INTERMEDIA</t>
  </si>
  <si>
    <t>NÄST SISTA MELLANLIGGANDE AVSNITTET</t>
  </si>
  <si>
    <t>VORLETZTER ZWISCHENABSCHNITT</t>
  </si>
  <si>
    <t>SONDAN BIR ÖNCEKI ARA BÖLÜM</t>
  </si>
  <si>
    <t>UTOLSÓ ELŐTTI KÖZÉPSŐ SZAKASZ</t>
  </si>
  <si>
    <t xml:space="preserve">SDOPPIAMENTO </t>
  </si>
  <si>
    <t>rozdělení</t>
  </si>
  <si>
    <t>DEPLOYMENT</t>
  </si>
  <si>
    <t>OPUSTI</t>
  </si>
  <si>
    <t>Fractionnement</t>
  </si>
  <si>
    <t xml:space="preserve">シェッド </t>
  </si>
  <si>
    <t>Splitting</t>
  </si>
  <si>
    <t xml:space="preserve">SHED </t>
  </si>
  <si>
    <t>Divisão</t>
  </si>
  <si>
    <t xml:space="preserve">DEPARTAMENTO </t>
  </si>
  <si>
    <t xml:space="preserve">ABTEILUNG </t>
  </si>
  <si>
    <t>CANCELLETTO DI SBARCO</t>
  </si>
  <si>
    <t>PŘISTÁVACÍ BRÁNA</t>
  </si>
  <si>
    <t>降落门</t>
  </si>
  <si>
    <t>VRATA ZA SLJETANJE</t>
  </si>
  <si>
    <t>PORTE D'EMBARQUEMENT</t>
  </si>
  <si>
    <t>ランディングゲート</t>
  </si>
  <si>
    <t>ΠΥΛΗ ΠΡΟΣΒΑΣΗΣ</t>
  </si>
  <si>
    <t>LANDING GATE</t>
  </si>
  <si>
    <t>IESNIEGŠANAS VĀRTI</t>
  </si>
  <si>
    <t>BRAMA LĄDOWA</t>
  </si>
  <si>
    <t>PORTA DE TERRA</t>
  </si>
  <si>
    <t>POARTA DE ATERIZARE</t>
  </si>
  <si>
    <t>ПОСАДОЧНЫЕ ВОРОТА</t>
  </si>
  <si>
    <t>PRISTÁVACIA BRÁNA</t>
  </si>
  <si>
    <t>VRATA ZA PRISTAJANJE</t>
  </si>
  <si>
    <t>PUERTA DE ATERRIZAJE</t>
  </si>
  <si>
    <t>LANDNINGSPORTER</t>
  </si>
  <si>
    <t>LANDUNGSTOR</t>
  </si>
  <si>
    <t>LANDİNG KAPISI</t>
  </si>
  <si>
    <t>FISSAGGIO SU LAMIERA</t>
  </si>
  <si>
    <t>UPEVNĚNÍ NA PLECH</t>
  </si>
  <si>
    <t>固定在金属板上</t>
  </si>
  <si>
    <t>UČVRŠĆIVANJE NA LISTU</t>
  </si>
  <si>
    <t>FIXATION SUR LA TÔLE</t>
  </si>
  <si>
    <t>シートメタル固定</t>
  </si>
  <si>
    <t>ΣΤΕΡΈΩΣΗ ΣΕ ΛΑΜΑΡΊΝΑ</t>
  </si>
  <si>
    <t>FIXING ON SHEET METAL</t>
  </si>
  <si>
    <t>STIPRINĀŠANA UZ LOKŠŅU METĀLA</t>
  </si>
  <si>
    <t>MOCOWANIE NA BLASZE</t>
  </si>
  <si>
    <t>FIXAÇÃO EM CHAPA METÁLICA</t>
  </si>
  <si>
    <t>FIXARE PE TABLĂ</t>
  </si>
  <si>
    <t>КРЕПЛЕНИЕ НА ЛИСТОВОЙ МЕТАЛЛ</t>
  </si>
  <si>
    <t>UPEVNENIE NA PLECH</t>
  </si>
  <si>
    <t>PRITRJEVANJE NA PLOČEVINO</t>
  </si>
  <si>
    <t>FIJACIÓN EN CHAPA</t>
  </si>
  <si>
    <t>FÄSTNING PÅ PLÅT</t>
  </si>
  <si>
    <t>BEFESTIGUNG AUF BLECH</t>
  </si>
  <si>
    <t>SAC METAL ÜZERINE SABITLEME</t>
  </si>
  <si>
    <t>RÖGZÍTÉS FÉMLEMEZRE</t>
  </si>
  <si>
    <t>DOPPIA CHIUSURA</t>
  </si>
  <si>
    <t>DVOJITÉ UZAVŘENÍ</t>
  </si>
  <si>
    <t>双重闭合</t>
  </si>
  <si>
    <t>DVOSTRUKO ZATVARANJE</t>
  </si>
  <si>
    <t>DOUBLE FERMETURE</t>
  </si>
  <si>
    <t>ダブルクロージャー</t>
  </si>
  <si>
    <t>ΔΙΠΛΟ ΚΛΕΙΣΙΜΟ</t>
  </si>
  <si>
    <t>DOUBLE CLOSURE</t>
  </si>
  <si>
    <t>DUBULTĀ AIZVĒRŠANA</t>
  </si>
  <si>
    <t>ZAMKNIĘCIE PODWÓJNE</t>
  </si>
  <si>
    <t>FECHAMENTO DOUBULO</t>
  </si>
  <si>
    <t>ÎNCHIDEREA DOUBLĂ</t>
  </si>
  <si>
    <t>ДВОЙНОЕ ЗАКРЫТИЕ</t>
  </si>
  <si>
    <t>DVOJITÉ ZATVORENIE</t>
  </si>
  <si>
    <t>DVOJNO ZAPIRANJE</t>
  </si>
  <si>
    <t>DOBLE CIERRE</t>
  </si>
  <si>
    <t>DUBBEL STÄNGNING</t>
  </si>
  <si>
    <t>DOPPELTER SCHLUSS</t>
  </si>
  <si>
    <t>ÇİFT KAPALI</t>
  </si>
  <si>
    <t>KETTŐS ZÁRÁS</t>
  </si>
  <si>
    <t>GRADINO DI USCITA</t>
  </si>
  <si>
    <t>VÝCHOZÍ KROK</t>
  </si>
  <si>
    <t>出口台阶</t>
  </si>
  <si>
    <t>IZLAZNI KORAK</t>
  </si>
  <si>
    <t>MARCHE DE SORTIE</t>
  </si>
  <si>
    <t>退出ステップ</t>
  </si>
  <si>
    <t>ΒΗΜΑ ΕΞΟΔΟΥ</t>
  </si>
  <si>
    <t>EXIT STEP</t>
  </si>
  <si>
    <t>IZEJAS PAKĀPIENS</t>
  </si>
  <si>
    <t>KROK WYJŚCIOWY</t>
  </si>
  <si>
    <t>PASSO DE SAÍDA</t>
  </si>
  <si>
    <t>PASUL DE IEȘIRE</t>
  </si>
  <si>
    <t>ВЫХОДНАЯ СТУПЕНЬКА</t>
  </si>
  <si>
    <t>VÝCHODNÝ KROK</t>
  </si>
  <si>
    <t>STOPNJA ZA IZHOD</t>
  </si>
  <si>
    <t>ESCALÓN DE SALIDA</t>
  </si>
  <si>
    <t>UTGÅNGSSTEG</t>
  </si>
  <si>
    <t>AUSGANGSSTUFE</t>
  </si>
  <si>
    <t>ÇIKIŞ ADIMI</t>
  </si>
  <si>
    <t>EXIT LÉPÉS</t>
  </si>
  <si>
    <t>IMPERMEABILIZZAZIONE</t>
  </si>
  <si>
    <t>VODOTĚSNÝ SYSTÉM</t>
  </si>
  <si>
    <t>防水层</t>
  </si>
  <si>
    <t>HIDROIZOLACIJA</t>
  </si>
  <si>
    <t>IMPERMÉABILITÉ</t>
  </si>
  <si>
    <t>ウォータープルーフ</t>
  </si>
  <si>
    <t>ΥΔΡΟΣΤΑΣΙΑ</t>
  </si>
  <si>
    <t>WATERPROOFING</t>
  </si>
  <si>
    <t>ŪDENSNECAURLAIDĪGS PĀRKLĀJUMS</t>
  </si>
  <si>
    <t>WODOODPORNOŚĆ</t>
  </si>
  <si>
    <t>HIDROIZOLAȚIE</t>
  </si>
  <si>
    <t>ГИДРОИЗОЛЯЦИЯ</t>
  </si>
  <si>
    <t>VODOHĽAD</t>
  </si>
  <si>
    <t>VODOFILIRANJE</t>
  </si>
  <si>
    <t>ESTANQUEIDAD</t>
  </si>
  <si>
    <t>VATTENTÄTNING</t>
  </si>
  <si>
    <t>WASSERABDICHTUNG</t>
  </si>
  <si>
    <t>SU YALITIMI</t>
  </si>
  <si>
    <t>VÍZÁLLÓSÍTÁS</t>
  </si>
  <si>
    <t>NUMERO DI ACCESSI</t>
  </si>
  <si>
    <t>POČET PŘÍSTUPŮ</t>
  </si>
  <si>
    <t>通道的数量</t>
  </si>
  <si>
    <t>BROJ PRISTUPA</t>
  </si>
  <si>
    <t>NOMBRE D'ACCÈS</t>
  </si>
  <si>
    <t>アクセス数</t>
  </si>
  <si>
    <t>ΑΡΙΘΜΌΣ ΠΡΟΣΒΆΣΕΩΝ</t>
  </si>
  <si>
    <t>NUMBER OF ACCESSES</t>
  </si>
  <si>
    <t>PIEKĻUVES VIETU SKAITS</t>
  </si>
  <si>
    <t>LICZBA WEJŚĆ</t>
  </si>
  <si>
    <t>NÚMERO DE ACESSOS</t>
  </si>
  <si>
    <t>NUMĂR DE ACCESE</t>
  </si>
  <si>
    <t>КОЛИЧЕСТВО ПОДЪЕЗДОВ</t>
  </si>
  <si>
    <t>POČET PRÍSTUPOV</t>
  </si>
  <si>
    <t>ŠTEVILO DOSTOPOV</t>
  </si>
  <si>
    <t>NÚMERO DE ACCESOS</t>
  </si>
  <si>
    <t>ANTAL INGÅNGAR</t>
  </si>
  <si>
    <t>ANZAHL DER ZUGÄNGE</t>
  </si>
  <si>
    <t>ERIŞIM SAYISI</t>
  </si>
  <si>
    <t>BEJÁRATOK SZÁMA</t>
  </si>
  <si>
    <t>TRASPORTO E GESTIONE</t>
  </si>
  <si>
    <t>DOPRAVA A SPRÁVA</t>
  </si>
  <si>
    <t>运输和管理</t>
  </si>
  <si>
    <t>PRIJEVOZ I MENADŽMENT</t>
  </si>
  <si>
    <t>TRANSPORT ET GESTION</t>
  </si>
  <si>
    <t>運輸・経営</t>
  </si>
  <si>
    <t>ΜΕΤΑΦΟΡΆ ΚΑΙ ΔΙΑΧΕΊΡΙΣΗ</t>
  </si>
  <si>
    <t>TRANSPORT AND MANAGEMENT</t>
  </si>
  <si>
    <t>TRANSPORTĒŠANA UN PĀRVALDĪBA</t>
  </si>
  <si>
    <t>TRANSPORT I ZARZĄDZANIE</t>
  </si>
  <si>
    <t>TRANSPORTE E GESTÃO</t>
  </si>
  <si>
    <t>TRANSPORT ȘI GESTIONARE</t>
  </si>
  <si>
    <t>ТРАНСПОРТИРОВКА И УПРАВЛЕНИЕ</t>
  </si>
  <si>
    <t>PREPRAVA A RIADENIE</t>
  </si>
  <si>
    <t>PREVOZ IN UPRAVLJANJE</t>
  </si>
  <si>
    <t>TRANSPORTE Y GESTIÓN</t>
  </si>
  <si>
    <t>TRANSPORT OCH FÖRVALTNING</t>
  </si>
  <si>
    <t>TRANSPORT UND VERWALTUNG</t>
  </si>
  <si>
    <t>NAKLİYE VE YÖNETİM</t>
  </si>
  <si>
    <t>SZÁLLÍTÁS ÉS KEZELÉS</t>
  </si>
  <si>
    <t>NASCONDI/SCOPRI CODICI</t>
  </si>
  <si>
    <t>SKRÝT/ODKRÝT KÓDY</t>
  </si>
  <si>
    <t xml:space="preserve"> 隐藏/不隐藏代码</t>
  </si>
  <si>
    <t>SAKRIJ/OTKRIVAJ KODOVE</t>
  </si>
  <si>
    <t>CACHER/DÉMASQUER LES CODES</t>
  </si>
  <si>
    <t>コードの非表示／非表示を切り替える</t>
  </si>
  <si>
    <t>ΑΠΌΚΡΥΨΗ/ΑΠΌΚΡΥΨΗ ΚΩΔΙΚΏΝ</t>
  </si>
  <si>
    <t>HIDE/UNHIDE CODES</t>
  </si>
  <si>
    <t>PASLĒPT/NOSLĒPT KODUS</t>
  </si>
  <si>
    <t>UKRYJ/USUŃ KODY</t>
  </si>
  <si>
    <t>OCULTAR/NÃO OCULTAR CÓDIGOS</t>
  </si>
  <si>
    <t>ASCUNDE/DEZVĂLUIE CODURILE</t>
  </si>
  <si>
    <t>СКРЫТЬ/ОТКРЫТЬ КОДЫ</t>
  </si>
  <si>
    <t>SKRÝVANIE/ODKRÝVANIE KÓDOV</t>
  </si>
  <si>
    <t>SKRIVANJE/ODKRIVANJE KOD</t>
  </si>
  <si>
    <t>OCULTAR/DESOCULTAR CÓDIGOS</t>
  </si>
  <si>
    <t>DÖLJA/AVLÄGSNA KODER</t>
  </si>
  <si>
    <t>CODES AUSBLENDEN/EINBLENDEN</t>
  </si>
  <si>
    <t>KODLARI GIZLE/GÖSTER</t>
  </si>
  <si>
    <t>KÓDOK ELREJTÉSE/ELREJTÉSÉNEK MEGSZÜNTETÉSE</t>
  </si>
  <si>
    <t>Fine</t>
  </si>
  <si>
    <t>Konec</t>
  </si>
  <si>
    <t>结束</t>
  </si>
  <si>
    <t>Fin</t>
  </si>
  <si>
    <t>終了</t>
  </si>
  <si>
    <t>Τέλος</t>
  </si>
  <si>
    <t>End</t>
  </si>
  <si>
    <t>Beidzas</t>
  </si>
  <si>
    <t>Koniec</t>
  </si>
  <si>
    <t>Fim</t>
  </si>
  <si>
    <t>Sfârșitul</t>
  </si>
  <si>
    <t>Конец</t>
  </si>
  <si>
    <t>Slut</t>
  </si>
  <si>
    <t>Ende</t>
  </si>
  <si>
    <t>Bitiş</t>
  </si>
  <si>
    <t>Vége</t>
  </si>
  <si>
    <t>Smyčka</t>
  </si>
  <si>
    <t>循环</t>
  </si>
  <si>
    <t>Petlja</t>
  </si>
  <si>
    <t>Boucle</t>
  </si>
  <si>
    <t>ループ</t>
  </si>
  <si>
    <t>Βρόχος</t>
  </si>
  <si>
    <t>Cilpa</t>
  </si>
  <si>
    <t>Pętla</t>
  </si>
  <si>
    <t>Bucla</t>
  </si>
  <si>
    <t>Петля</t>
  </si>
  <si>
    <t>Slučka</t>
  </si>
  <si>
    <t>Zanka</t>
  </si>
  <si>
    <t>Bucle</t>
  </si>
  <si>
    <t>Slinga</t>
  </si>
  <si>
    <t>Schleife</t>
  </si>
  <si>
    <t>Döngü</t>
  </si>
  <si>
    <t>Hurok</t>
  </si>
  <si>
    <t>Úhel</t>
  </si>
  <si>
    <t>角度</t>
  </si>
  <si>
    <t>Kut</t>
  </si>
  <si>
    <t>アングル</t>
  </si>
  <si>
    <t>Γωνία</t>
  </si>
  <si>
    <t>Leņķis</t>
  </si>
  <si>
    <t>Kąt</t>
  </si>
  <si>
    <t>Ângulo</t>
  </si>
  <si>
    <t>Unghiul</t>
  </si>
  <si>
    <t>Угол</t>
  </si>
  <si>
    <t>Uhol</t>
  </si>
  <si>
    <t>Kot</t>
  </si>
  <si>
    <t>Ángulo</t>
  </si>
  <si>
    <t>Vinkel</t>
  </si>
  <si>
    <t>Winkel</t>
  </si>
  <si>
    <t>Açı</t>
  </si>
  <si>
    <t>Szög</t>
  </si>
  <si>
    <t>Coordinate</t>
  </si>
  <si>
    <t>Souřadnice</t>
  </si>
  <si>
    <t>坐标</t>
  </si>
  <si>
    <t>Koordinate</t>
  </si>
  <si>
    <t>Coordonnées</t>
  </si>
  <si>
    <t>コーディネート</t>
  </si>
  <si>
    <t>Συντεταγμένες</t>
  </si>
  <si>
    <t>Coordinates</t>
  </si>
  <si>
    <t>Koordinātas</t>
  </si>
  <si>
    <t>Współrzędne</t>
  </si>
  <si>
    <t>Coordenadas</t>
  </si>
  <si>
    <t>Coordonate</t>
  </si>
  <si>
    <t>Координаты</t>
  </si>
  <si>
    <t>Súradnice</t>
  </si>
  <si>
    <t>Koordinater</t>
  </si>
  <si>
    <t>Koordinaten</t>
  </si>
  <si>
    <t>Koordinatlar</t>
  </si>
  <si>
    <t>Koordináták</t>
  </si>
  <si>
    <t>Posizione Supporto #</t>
  </si>
  <si>
    <t>Poloha Podpěra #</t>
  </si>
  <si>
    <t>位置支持 #</t>
  </si>
  <si>
    <t>Podrška za poziciju #</t>
  </si>
  <si>
    <t>Position Support #</t>
  </si>
  <si>
    <t>ポジションサポート #</t>
  </si>
  <si>
    <t>Θέση Υποστήριξη #</t>
  </si>
  <si>
    <t>Atrašanās vietas atbalsts #</t>
  </si>
  <si>
    <t>Pozycja Wsparcie #</t>
  </si>
  <si>
    <t>Posição de Apoio #</t>
  </si>
  <si>
    <t>Poziția suportului #</t>
  </si>
  <si>
    <t>Опора позиции #</t>
  </si>
  <si>
    <t>Pozícia Podpora #</t>
  </si>
  <si>
    <t>Položaj Podpora #</t>
  </si>
  <si>
    <t>Posición Soporte #</t>
  </si>
  <si>
    <t>Position Stöd #</t>
  </si>
  <si>
    <t>Position Unterstützung #</t>
  </si>
  <si>
    <t>Pozisyon Desteği #</t>
  </si>
  <si>
    <t>Pozíció Támogatási #</t>
  </si>
  <si>
    <t>Start</t>
  </si>
  <si>
    <t>开始</t>
  </si>
  <si>
    <t>Početak</t>
  </si>
  <si>
    <t>Début</t>
  </si>
  <si>
    <t>スタート</t>
  </si>
  <si>
    <t>Έναρξη</t>
  </si>
  <si>
    <t>Sākums</t>
  </si>
  <si>
    <t>Początek</t>
  </si>
  <si>
    <t>Início</t>
  </si>
  <si>
    <t>Начало</t>
  </si>
  <si>
    <t>Začiatok</t>
  </si>
  <si>
    <t>Začetek</t>
  </si>
  <si>
    <t>Inicio</t>
  </si>
  <si>
    <t>Başlangıç</t>
  </si>
  <si>
    <t>Partenza Condivisa</t>
  </si>
  <si>
    <t>Sdílený začátek</t>
  </si>
  <si>
    <t>共享的起点</t>
  </si>
  <si>
    <t>Zajednički početak</t>
  </si>
  <si>
    <t>Début partagé</t>
  </si>
  <si>
    <t>シェアードスタート</t>
  </si>
  <si>
    <t>Κοινή αρχή</t>
  </si>
  <si>
    <t>Shared Start</t>
  </si>
  <si>
    <t>Koplietošanas sākums</t>
  </si>
  <si>
    <t>Wspólny początek</t>
  </si>
  <si>
    <t>Início Partilhado</t>
  </si>
  <si>
    <t>Общий старт</t>
  </si>
  <si>
    <t>Spoločný začiatok</t>
  </si>
  <si>
    <t>Skupni začetek</t>
  </si>
  <si>
    <t>Inicio compartido</t>
  </si>
  <si>
    <t>Delad start</t>
  </si>
  <si>
    <t>Gemeinsamer Start</t>
  </si>
  <si>
    <t>Paylaşımlı Başlangıç</t>
  </si>
  <si>
    <t>Megosztott Start</t>
  </si>
  <si>
    <t>Da Supporto #</t>
  </si>
  <si>
    <t>Od podpory #</t>
  </si>
  <si>
    <t>从支座#开始</t>
  </si>
  <si>
    <t>Od podrške #</t>
  </si>
  <si>
    <t>Du support #</t>
  </si>
  <si>
    <t>フロムサポート #</t>
  </si>
  <si>
    <t>Από την Υποστήριξη #</t>
  </si>
  <si>
    <t>From Support #</t>
  </si>
  <si>
    <t>No atbalsta #</t>
  </si>
  <si>
    <t>Do Suporte #</t>
  </si>
  <si>
    <t>De la Suport #</t>
  </si>
  <si>
    <t>От опоры #</t>
  </si>
  <si>
    <t>Od podpore #</t>
  </si>
  <si>
    <t>Desde apoyo #</t>
  </si>
  <si>
    <t>Från stöd #</t>
  </si>
  <si>
    <t>Von Auflager #</t>
  </si>
  <si>
    <t>Destek'ten #</t>
  </si>
  <si>
    <t>Támogatótól #</t>
  </si>
  <si>
    <t>A Supporto #</t>
  </si>
  <si>
    <t>Do podpory #</t>
  </si>
  <si>
    <t>至支撑点 #</t>
  </si>
  <si>
    <t>Podržati #</t>
  </si>
  <si>
    <t>Vers le support #</t>
  </si>
  <si>
    <t>をサポートする。</t>
  </si>
  <si>
    <t>Προς Υποστήριξη #</t>
  </si>
  <si>
    <t>To Support #</t>
  </si>
  <si>
    <t>Uz atbalstu #</t>
  </si>
  <si>
    <t>Do Wspornika #</t>
  </si>
  <si>
    <t>Para Apoiar #</t>
  </si>
  <si>
    <t>Spre Suport #</t>
  </si>
  <si>
    <t>К опоре #</t>
  </si>
  <si>
    <t>Do podpore #</t>
  </si>
  <si>
    <t>Al soporte #</t>
  </si>
  <si>
    <t>Till stöd #</t>
  </si>
  <si>
    <t>Bis Stützpunkt #</t>
  </si>
  <si>
    <t>Desteklemek için #</t>
  </si>
  <si>
    <t>Směr</t>
  </si>
  <si>
    <t>方向</t>
  </si>
  <si>
    <t>Smjer</t>
  </si>
  <si>
    <t>ディレクション</t>
  </si>
  <si>
    <t>Κατεύθυνση</t>
  </si>
  <si>
    <t>Virziens</t>
  </si>
  <si>
    <t>Kierunek</t>
  </si>
  <si>
    <t>Sentido</t>
  </si>
  <si>
    <t>Direcția</t>
  </si>
  <si>
    <t>Направление</t>
  </si>
  <si>
    <t>Smer</t>
  </si>
  <si>
    <t>Dirección</t>
  </si>
  <si>
    <t>Riktning</t>
  </si>
  <si>
    <t>Richtung</t>
  </si>
  <si>
    <t>Yön</t>
  </si>
  <si>
    <t>Irány</t>
  </si>
  <si>
    <t>长度</t>
  </si>
  <si>
    <t>Duljina</t>
  </si>
  <si>
    <t>Lenght</t>
  </si>
  <si>
    <t>Hosszúság</t>
  </si>
  <si>
    <t>Angolo°</t>
  </si>
  <si>
    <t>Úhel°</t>
  </si>
  <si>
    <t>Kut°</t>
  </si>
  <si>
    <t>Γωνία°</t>
  </si>
  <si>
    <t>Angle°</t>
  </si>
  <si>
    <t>Leņķis°</t>
  </si>
  <si>
    <t>Kąt°</t>
  </si>
  <si>
    <t>Ângulo°</t>
  </si>
  <si>
    <t>Угол°</t>
  </si>
  <si>
    <t>Uhol°</t>
  </si>
  <si>
    <t>Kot°</t>
  </si>
  <si>
    <t>Vinkel°</t>
  </si>
  <si>
    <t>Winkel°</t>
  </si>
  <si>
    <t>Açı°</t>
  </si>
  <si>
    <t>Szög°</t>
  </si>
  <si>
    <t>Lunghezza misurata</t>
  </si>
  <si>
    <t>Naměřená délka</t>
  </si>
  <si>
    <t>测量的长度</t>
  </si>
  <si>
    <t>Izmjerena duljina</t>
  </si>
  <si>
    <t>Longueur mesurée</t>
  </si>
  <si>
    <t>測定された長さ</t>
  </si>
  <si>
    <t>Μετρούμενο μήκος</t>
  </si>
  <si>
    <t>Measured length</t>
  </si>
  <si>
    <t>Izmērītais garums</t>
  </si>
  <si>
    <t>Zmierzona długość</t>
  </si>
  <si>
    <t>Comprimento medido</t>
  </si>
  <si>
    <t>Lungime măsurată</t>
  </si>
  <si>
    <t>Измеренная длина</t>
  </si>
  <si>
    <t>Nameraná dĺžka</t>
  </si>
  <si>
    <t>Izmerjena dolžina</t>
  </si>
  <si>
    <t>Longitud medida</t>
  </si>
  <si>
    <t>Uppmätt längd</t>
  </si>
  <si>
    <t>Gemessene Länge</t>
  </si>
  <si>
    <t>Ölçülen uzunluk</t>
  </si>
  <si>
    <t>Mért hossz</t>
  </si>
  <si>
    <t>Partenza dall'ultimo</t>
  </si>
  <si>
    <t>Začátek od posledního</t>
  </si>
  <si>
    <t>从最后一个开始</t>
  </si>
  <si>
    <t>Kreni od zadnjeg</t>
  </si>
  <si>
    <t>Commencer par le dernier</t>
  </si>
  <si>
    <t>最後からのスタート</t>
  </si>
  <si>
    <t>Έναρξη από το τελευταίο</t>
  </si>
  <si>
    <t>Start from Last</t>
  </si>
  <si>
    <t>Sākums no pēdējā</t>
  </si>
  <si>
    <t>Zacznij od ostatniego</t>
  </si>
  <si>
    <t>Comece de Last</t>
  </si>
  <si>
    <t>Începe de la ultimul</t>
  </si>
  <si>
    <t>Начните с последней</t>
  </si>
  <si>
    <t>Začiatok od posledného</t>
  </si>
  <si>
    <t>Začetek od zadnjega</t>
  </si>
  <si>
    <t>Empezar por el último</t>
  </si>
  <si>
    <t>Börja från sista</t>
  </si>
  <si>
    <t>Start von der letzten</t>
  </si>
  <si>
    <t>Sondan Başla</t>
  </si>
  <si>
    <t>Kezdet az utolsótól</t>
  </si>
  <si>
    <t>Attenzione al numero montanti</t>
  </si>
  <si>
    <t>Věnujte pozornost počtu sloupků</t>
  </si>
  <si>
    <t>注意立柱的数量</t>
  </si>
  <si>
    <t>Obratite pozornost na broj stupova</t>
  </si>
  <si>
    <t>Attention au nombre de montants</t>
  </si>
  <si>
    <t>アップライトの本数に注目</t>
  </si>
  <si>
    <t>Δώστε προσοχή στον αριθμό των ορθοστατών</t>
  </si>
  <si>
    <t>Pay attention to the number of uprights</t>
  </si>
  <si>
    <t>Pievērsiet uzmanību statņu skaitam</t>
  </si>
  <si>
    <t>Zwróć uwagę na liczbę słupków</t>
  </si>
  <si>
    <t>Preste atenção ao número de montantes</t>
  </si>
  <si>
    <t>Fiți atenți la numărul de montanți</t>
  </si>
  <si>
    <t>Обратите внимание на количество стоек</t>
  </si>
  <si>
    <t>Venujte pozornosť počtu stĺpikov</t>
  </si>
  <si>
    <t>Bodite pozorni na število stebričkov</t>
  </si>
  <si>
    <t>Preste atención al número de montantes</t>
  </si>
  <si>
    <t>Var uppmärksam på antalet stolpar</t>
  </si>
  <si>
    <t>Achten Sie auf die Anzahl der Pfosten</t>
  </si>
  <si>
    <t>Dikme sayısına dikkat edin</t>
  </si>
  <si>
    <t>Figyeljen a függőleges oszlopok számára</t>
  </si>
  <si>
    <t>ZINCATO A CALDO</t>
  </si>
  <si>
    <t>HORKÝ GALVANIZOVANÝ</t>
  </si>
  <si>
    <t>热镀锌</t>
  </si>
  <si>
    <t>TOPLO POCINČANO</t>
  </si>
  <si>
    <t>GALVANISÉ CHAUD</t>
  </si>
  <si>
    <t>ホットガルバニーズ</t>
  </si>
  <si>
    <t>ΖΕΣΤΟΣ ΓΑΛΑΖΟΠΟΙΗΜΕΝΟΣ</t>
  </si>
  <si>
    <t>HOT GALVANIZED</t>
  </si>
  <si>
    <t>KARSTI GALVANIZĒTS</t>
  </si>
  <si>
    <t>GALWANIZACJA GORĄCA</t>
  </si>
  <si>
    <t>HOT GALVANIZADO</t>
  </si>
  <si>
    <t>GALVANIZAT LA CALD</t>
  </si>
  <si>
    <t>ГОРЯЧИЙ ГАЛЬВАНИЗИРОВАННЫЙ</t>
  </si>
  <si>
    <t>HORÚCE GALVANIZOVANÉ</t>
  </si>
  <si>
    <t>VROČA GALVANIZIRANA</t>
  </si>
  <si>
    <t>GALVANIZADO EN CALIENTE</t>
  </si>
  <si>
    <t>SICAK GALVANİZLİ</t>
  </si>
  <si>
    <t>MELEG GALVANIZÁLT</t>
  </si>
  <si>
    <t>Arrivo e Ripartenza</t>
  </si>
  <si>
    <t>Příjezd a opětovný start</t>
  </si>
  <si>
    <t>到达和重启</t>
  </si>
  <si>
    <t>Dolazak i ponovno pokretanje</t>
  </si>
  <si>
    <t>Arrivée et redémarrage</t>
  </si>
  <si>
    <t>到着と再スタート</t>
  </si>
  <si>
    <t>Άφιξη και επανεκκίνηση</t>
  </si>
  <si>
    <t>Arrival and Restart</t>
  </si>
  <si>
    <t>Ierašanās un atkārtota iedarbināšana</t>
  </si>
  <si>
    <t>Przyjazd i ponowny start</t>
  </si>
  <si>
    <t>Chegada e reinício</t>
  </si>
  <si>
    <t>Sosire și repornire</t>
  </si>
  <si>
    <t>Прибытие и перезапуск</t>
  </si>
  <si>
    <t>Príchod a opätovný štart</t>
  </si>
  <si>
    <t>Prihod in ponovni zagon</t>
  </si>
  <si>
    <t>Llegada y Reinicio</t>
  </si>
  <si>
    <t>Ankomst och omstart</t>
  </si>
  <si>
    <t>Ankunft und Neustart</t>
  </si>
  <si>
    <t>Varış ve Yeniden Başlatma</t>
  </si>
  <si>
    <t>Érkezés és újraindítás</t>
  </si>
  <si>
    <t>Esporta E-Service/Margin</t>
  </si>
  <si>
    <t>Export E-Service/Margin</t>
  </si>
  <si>
    <t>出口电子服务/利润率</t>
  </si>
  <si>
    <t>Izvoz E-usluga/Marža</t>
  </si>
  <si>
    <t>Exportation E-Service/Marge</t>
  </si>
  <si>
    <t>輸出 電子サービス/マージン</t>
  </si>
  <si>
    <t>Εξαγωγή E-Service/Περιθώριο</t>
  </si>
  <si>
    <t>Eksportēt e-pakalpojumu/maržu</t>
  </si>
  <si>
    <t>Eksport E-Service/Marża</t>
  </si>
  <si>
    <t>Exportar E-Service/Margin</t>
  </si>
  <si>
    <t>Exportați E-Service/Margin</t>
  </si>
  <si>
    <t>Экспорт E-Service/Margin</t>
  </si>
  <si>
    <t>Izvoz E-storitev/Marža</t>
  </si>
  <si>
    <t>Exportación E-Service/Margen</t>
  </si>
  <si>
    <t>İhracat E-Hizmet/Marjin</t>
  </si>
  <si>
    <t>E-Service/Margin exportálása</t>
  </si>
  <si>
    <t>Terminali</t>
  </si>
  <si>
    <t>Terminály</t>
  </si>
  <si>
    <t>终端机</t>
  </si>
  <si>
    <t>Terminaux</t>
  </si>
  <si>
    <t>端子類</t>
  </si>
  <si>
    <t>Τερματικοί σταθμοί</t>
  </si>
  <si>
    <t>Terminals</t>
  </si>
  <si>
    <t>Termināli</t>
  </si>
  <si>
    <t>Terminale</t>
  </si>
  <si>
    <t>Terminais</t>
  </si>
  <si>
    <t>Терминалы</t>
  </si>
  <si>
    <t>Terminales</t>
  </si>
  <si>
    <t>Terminaler</t>
  </si>
  <si>
    <t>Terminaller</t>
  </si>
  <si>
    <t>Terminálok</t>
  </si>
  <si>
    <t>Tutti i supporti</t>
  </si>
  <si>
    <t>Všechny podpěry</t>
  </si>
  <si>
    <t>所有的支架</t>
  </si>
  <si>
    <t>Sve potpore</t>
  </si>
  <si>
    <t>Tous les supports</t>
  </si>
  <si>
    <t>すべてのサポート</t>
  </si>
  <si>
    <t>Όλα τα στηρίγματα</t>
  </si>
  <si>
    <t>All the supports</t>
  </si>
  <si>
    <t>Visi balsti</t>
  </si>
  <si>
    <t>Wszystkie podpory</t>
  </si>
  <si>
    <t>Todos os apoios</t>
  </si>
  <si>
    <t>Toate suporturile</t>
  </si>
  <si>
    <t>Все опоры</t>
  </si>
  <si>
    <t>Všetky podpery</t>
  </si>
  <si>
    <t>Vsi nosilci</t>
  </si>
  <si>
    <t>Todos los soportes</t>
  </si>
  <si>
    <t>Alla stöd</t>
  </si>
  <si>
    <t>Alle Stützen</t>
  </si>
  <si>
    <t>Tüm destekler</t>
  </si>
  <si>
    <t>Minden támasz</t>
  </si>
  <si>
    <t>n. supporti</t>
  </si>
  <si>
    <t>č. Podporuje</t>
  </si>
  <si>
    <t>没有。支架</t>
  </si>
  <si>
    <t>Ne. Podržava</t>
  </si>
  <si>
    <t>non. Supports</t>
  </si>
  <si>
    <t>No. サポート内容</t>
  </si>
  <si>
    <t>no. Υποστηρίζει</t>
  </si>
  <si>
    <t>no. Supports</t>
  </si>
  <si>
    <t>Nr. Atbalsta</t>
  </si>
  <si>
    <t>nie. Podpory</t>
  </si>
  <si>
    <t>não. Apoia</t>
  </si>
  <si>
    <t>nu. Suporturi</t>
  </si>
  <si>
    <t>нет. Опоры</t>
  </si>
  <si>
    <t>ne. Podpira</t>
  </si>
  <si>
    <t>no. Soportes</t>
  </si>
  <si>
    <t>nr. Stöd</t>
  </si>
  <si>
    <t>Nein. Stützen</t>
  </si>
  <si>
    <t>Hayır. Destekler</t>
  </si>
  <si>
    <t>nem. Támogatások</t>
  </si>
  <si>
    <t>Materiale Navetta</t>
  </si>
  <si>
    <t>MATERIÁL RAKETOPLÁNU</t>
  </si>
  <si>
    <t>梭子材料</t>
  </si>
  <si>
    <t>MATERIJAL ZA SHUTTLE</t>
  </si>
  <si>
    <t>MATÉRIEL DE LA NAVETTE</t>
  </si>
  <si>
    <t>シャトル材</t>
  </si>
  <si>
    <t>ΥΛΙΚΌ ΜΕΤΑΦΟΡΆΣ</t>
  </si>
  <si>
    <t>SHUTTLE MATERIAL</t>
  </si>
  <si>
    <t>TRANSPORTLĪDZEKLIS MATERIĀLS</t>
  </si>
  <si>
    <t>MATERIAŁ CZÓŁENKOWY</t>
  </si>
  <si>
    <t>MATERIAL DO VAIVÉM</t>
  </si>
  <si>
    <t>MATERIAL DE NAVETĂ</t>
  </si>
  <si>
    <t>ЧЕЛНОЧНЫЙ МАТЕРИАЛ</t>
  </si>
  <si>
    <t>MATERIÁL ČLNA</t>
  </si>
  <si>
    <t>MATERIAL ZA SHUTTLE</t>
  </si>
  <si>
    <t>MATERIAL DE LANZADERA</t>
  </si>
  <si>
    <t>MATERIAL FÖR SKYTTEL</t>
  </si>
  <si>
    <t>SHUTTLE-MATERIAL</t>
  </si>
  <si>
    <t>MEKIK MALZEMESI</t>
  </si>
  <si>
    <t>INGAJÁRAT ANYAGA</t>
  </si>
  <si>
    <t>Copia Sconto</t>
  </si>
  <si>
    <t>Kopírování Sleva</t>
  </si>
  <si>
    <t>复制折扣</t>
  </si>
  <si>
    <t>Kopiraj popust</t>
  </si>
  <si>
    <t>Copie Remise</t>
  </si>
  <si>
    <t>コピー割引</t>
  </si>
  <si>
    <t>Αντίγραφο Έκπτωση</t>
  </si>
  <si>
    <t>Copy Discount</t>
  </si>
  <si>
    <t>Kopēt Atlaide</t>
  </si>
  <si>
    <t>Kopia Rabat</t>
  </si>
  <si>
    <t>Desconto por cópia</t>
  </si>
  <si>
    <t>Reducere de copie</t>
  </si>
  <si>
    <t>Копия Скидка</t>
  </si>
  <si>
    <t>Zľava na kopírovanie</t>
  </si>
  <si>
    <t>Kopiranje Popust</t>
  </si>
  <si>
    <t>Copia Descuento</t>
  </si>
  <si>
    <t>Kopiera rabatt</t>
  </si>
  <si>
    <t>Kopieren Rabatt</t>
  </si>
  <si>
    <t>Kopya İndirimi</t>
  </si>
  <si>
    <t>Másolás Kedvezmény</t>
  </si>
  <si>
    <t>SISTEMA NON COMPLETO DEI TERMINALI</t>
  </si>
  <si>
    <t>SYSTÉM NENÍ KOMPLETNÍ Z KONCŮ</t>
  </si>
  <si>
    <t>系统不完整的两端</t>
  </si>
  <si>
    <t>SUSTAV NIJE POTPUAN KRAJEVIMA</t>
  </si>
  <si>
    <t>SYSTÈME NON COMPLET D'EXTRÉMITÉS</t>
  </si>
  <si>
    <t>はんぱない</t>
  </si>
  <si>
    <t>ΣΎΣΤΗΜΑ ΔΕΝ ΕΊΝΑΙ ΠΛΉΡΕΣ ΤΩΝ ΆΚΡΩΝ</t>
  </si>
  <si>
    <t>SYSTEM NOT COMPLETE OF ENDS</t>
  </si>
  <si>
    <t>SISTĒMA NAV PABEIGTA GALU</t>
  </si>
  <si>
    <t>SYSTEM NIEKOMPLETNY KOŃCÓWKI</t>
  </si>
  <si>
    <t>SISTEMA NÃO COMPLETO DE FINS</t>
  </si>
  <si>
    <t>SISTEMUL NU ESTE COMPLET DE CAPETE</t>
  </si>
  <si>
    <t>СИСТЕМА НЕ ЗАВЕРШЕНА КОНЦЫ</t>
  </si>
  <si>
    <t>SYSTÉM NIE JE KOMPLETNÝ KONCOV</t>
  </si>
  <si>
    <t>SISTEM NI POPOLN OD KONCEV</t>
  </si>
  <si>
    <t>SISTEMA NO COMPLETO DE EXTREMOS</t>
  </si>
  <si>
    <t>SYSTEMET ÄR INTE KOMPLETT AV ÄNDAR</t>
  </si>
  <si>
    <t>SYSTEM NICHT VOLLSTÄNDIG VON ENDEN</t>
  </si>
  <si>
    <t>SISTEM UÇLARI TAMAMLANMAMIŞ</t>
  </si>
  <si>
    <t>RENDSZER NEM TELJES A VÉGEK</t>
  </si>
  <si>
    <t>X-LAM</t>
  </si>
  <si>
    <t>CLT</t>
  </si>
  <si>
    <t>シーエルティー</t>
  </si>
  <si>
    <t>CEMENTO ALVEOLARE</t>
  </si>
  <si>
    <t>HOLLOW CORE</t>
  </si>
  <si>
    <t>镂空芯材</t>
  </si>
  <si>
    <t>ŠUPLJA JEZGRA</t>
  </si>
  <si>
    <t>NOYAU CREUX</t>
  </si>
  <si>
    <t>ホローコア</t>
  </si>
  <si>
    <t>ΠΥΡΉΝΑΣ HOLLOW</t>
  </si>
  <si>
    <t>RDZEŃ PŁASKI</t>
  </si>
  <si>
    <t>ПУСТОТЕЛОЕ ЯДРО</t>
  </si>
  <si>
    <t>NÚCLEO HUECO</t>
  </si>
  <si>
    <t>HEGYES MAG</t>
  </si>
  <si>
    <t>LAMIERA TRAPEZOIDALE</t>
  </si>
  <si>
    <t>TRAPÉZOVÝ PLECH</t>
  </si>
  <si>
    <t>梯形板</t>
  </si>
  <si>
    <t>TRAPEZOIDNI LIM</t>
  </si>
  <si>
    <t>TÔLE TRAPÉZOÏDALE</t>
  </si>
  <si>
    <t>台形シート</t>
  </si>
  <si>
    <t>ΤΡΑΠΕΖΟΕΙΔΈΣ ΦΎΛΛΟ</t>
  </si>
  <si>
    <t>TRAPEZOIDAL SHEET</t>
  </si>
  <si>
    <t>TRAPECVEIDA LOKSNE</t>
  </si>
  <si>
    <t>BLACHA TRAPEZOWA</t>
  </si>
  <si>
    <t>FOLHA TRAPEZOIDAL</t>
  </si>
  <si>
    <t>TABLĂ TRAPEZOIDALĂ</t>
  </si>
  <si>
    <t>ТРАПЕЦИЕВИДНЫЙ ЛИСТ</t>
  </si>
  <si>
    <t>TRAPEZOIDNA PLOČEVINA</t>
  </si>
  <si>
    <t>CHAPA TRAPEZOIDAL</t>
  </si>
  <si>
    <t>TRAPEZOIDFORMAD PLÅT</t>
  </si>
  <si>
    <t>TRAPEZFÖRMIGES BLECH</t>
  </si>
  <si>
    <t>TRAPEZ SAC</t>
  </si>
  <si>
    <t>TRAPÉZLEMEZ</t>
  </si>
  <si>
    <t>Spessori Minimi</t>
  </si>
  <si>
    <t>Minimální tloušťky</t>
  </si>
  <si>
    <t>最小厚度</t>
  </si>
  <si>
    <t>Minimalne debljine</t>
  </si>
  <si>
    <t>Epaisseurs minimales</t>
  </si>
  <si>
    <t>最小厚み</t>
  </si>
  <si>
    <t>Ελάχιστα πάχη</t>
  </si>
  <si>
    <t>Minimum thicknesses</t>
  </si>
  <si>
    <t>Minimālie biezumi</t>
  </si>
  <si>
    <t>Minimalne grubości</t>
  </si>
  <si>
    <t>Espessuras mínimas</t>
  </si>
  <si>
    <t>Grosimi minime</t>
  </si>
  <si>
    <t>Минимальные толщины</t>
  </si>
  <si>
    <t>Minimálne hrúbky</t>
  </si>
  <si>
    <t>Najmanjše debeline</t>
  </si>
  <si>
    <t>Espesores mínimos</t>
  </si>
  <si>
    <t>Minsta tjocklek</t>
  </si>
  <si>
    <t>Mindeststärken</t>
  </si>
  <si>
    <t>Minimum kalınlıklar</t>
  </si>
  <si>
    <t>Minimális vastagságok</t>
  </si>
  <si>
    <t>METODO DI LAVORO</t>
  </si>
  <si>
    <t>ZPŮSOB PRÁCE</t>
  </si>
  <si>
    <t>工作方法</t>
  </si>
  <si>
    <t>NAČIN RADA</t>
  </si>
  <si>
    <t>MÉTHODE DE TRAVAIL</t>
  </si>
  <si>
    <t>作業方法</t>
  </si>
  <si>
    <t>ΜΕΘΟΔΟΣ ΕΡΓΑΣΙΑΣ</t>
  </si>
  <si>
    <t>WORKING METHOD</t>
  </si>
  <si>
    <t>DARBA METODE</t>
  </si>
  <si>
    <t>METODA PRACY</t>
  </si>
  <si>
    <t>MÉTODO DE TRABALHO</t>
  </si>
  <si>
    <t>METODA DE LUCRU</t>
  </si>
  <si>
    <t>МЕТОД РАБОТЫ</t>
  </si>
  <si>
    <t>METÓDA PRÁCE</t>
  </si>
  <si>
    <t>DELOVNA METODA</t>
  </si>
  <si>
    <t>MÉTODO DE TRABAJO</t>
  </si>
  <si>
    <t>ARBETSMETOD</t>
  </si>
  <si>
    <t>ARBEITSWEISE</t>
  </si>
  <si>
    <t>ÇALIŞMA YÖNTEMİ</t>
  </si>
  <si>
    <t>MUNKAMÓD</t>
  </si>
  <si>
    <t xml:space="preserve">SOSPENSIONE </t>
  </si>
  <si>
    <t>悬吊</t>
  </si>
  <si>
    <t>SUSPENZIJA</t>
  </si>
  <si>
    <t>SUSPENSION</t>
  </si>
  <si>
    <t>ΑΝΤΙΣΤΑΣΗ</t>
  </si>
  <si>
    <t>PIEDZĪVES</t>
  </si>
  <si>
    <t>PODSUMOWANIE</t>
  </si>
  <si>
    <t>SUSPENSÃO</t>
  </si>
  <si>
    <t>SUSPENSIE</t>
  </si>
  <si>
    <t>УСПОКОЕНИЕ</t>
  </si>
  <si>
    <t>IZVAJANJE</t>
  </si>
  <si>
    <t>SUSPENSIÓN</t>
  </si>
  <si>
    <t>FÄSTNING</t>
  </si>
  <si>
    <t>SÜSPANSİYON</t>
  </si>
  <si>
    <t>ZACHYCENÍ PÁDU</t>
  </si>
  <si>
    <t>防坠落装置</t>
  </si>
  <si>
    <t>JESEN HAPŠENJE</t>
  </si>
  <si>
    <t>ARRET DE CHUTE</t>
  </si>
  <si>
    <t>ΠΤΩΣΗ ΑΡΙΣΤΕΡΑ</t>
  </si>
  <si>
    <t>PĀRKRITUMA ATTURĒŠANA</t>
  </si>
  <si>
    <t>ZATRZYMANIE PRZY UPADKU</t>
  </si>
  <si>
    <t>ARRESTE DE CIMA</t>
  </si>
  <si>
    <t>ARESTAREA CĂDERII</t>
  </si>
  <si>
    <t>ЗАДЕРЖАНИЕ ПРИ ПАДЕНИИ</t>
  </si>
  <si>
    <t>ZACHYTENIE PÁDU</t>
  </si>
  <si>
    <t>ZAJEMANJE PRI PADAVANJU</t>
  </si>
  <si>
    <t>DETENCIÓN DE CAÍDAS</t>
  </si>
  <si>
    <t>FALLANSIKTER</t>
  </si>
  <si>
    <t>FALLSICHERUNG</t>
  </si>
  <si>
    <t>SONBAHAR TUTUKLAMASI</t>
  </si>
  <si>
    <t>ZUHANÁS FELSZERELÉS</t>
  </si>
  <si>
    <t>TRATTENUTA</t>
  </si>
  <si>
    <t>ZACHYCENÍ</t>
  </si>
  <si>
    <t>救援</t>
  </si>
  <si>
    <t>SUZDRŽAVANJE</t>
  </si>
  <si>
    <t>RESTRAINT</t>
  </si>
  <si>
    <t>ΑΣΦΑΛΙΣΗ</t>
  </si>
  <si>
    <t>RESTRICȚIE</t>
  </si>
  <si>
    <t>УДЕРЖАНИЕ</t>
  </si>
  <si>
    <t>ZABEZPEČENIE</t>
  </si>
  <si>
    <t>OHRANITEV</t>
  </si>
  <si>
    <t>RESTRICCIÓN</t>
  </si>
  <si>
    <t>FELSZABADÍTÁS</t>
  </si>
  <si>
    <t>Esterno</t>
  </si>
  <si>
    <t>Vnější</t>
  </si>
  <si>
    <t>外部</t>
  </si>
  <si>
    <t>Vanjski</t>
  </si>
  <si>
    <t>Externe</t>
  </si>
  <si>
    <t>Εξωτερικό</t>
  </si>
  <si>
    <t>External</t>
  </si>
  <si>
    <t>Ārējais</t>
  </si>
  <si>
    <t>Zewnętrzna</t>
  </si>
  <si>
    <t>Exterior</t>
  </si>
  <si>
    <t>Extern</t>
  </si>
  <si>
    <t>Внешний</t>
  </si>
  <si>
    <t>Vonkajšie</t>
  </si>
  <si>
    <t>Zunanji</t>
  </si>
  <si>
    <t>Außen</t>
  </si>
  <si>
    <t>Harici</t>
  </si>
  <si>
    <t>Külső</t>
  </si>
  <si>
    <t>Interno</t>
  </si>
  <si>
    <t>Interní</t>
  </si>
  <si>
    <t>内部</t>
  </si>
  <si>
    <t>Interni</t>
  </si>
  <si>
    <t>Interne</t>
  </si>
  <si>
    <t>Εσωτερική</t>
  </si>
  <si>
    <t>Internal</t>
  </si>
  <si>
    <t>Iekšējais</t>
  </si>
  <si>
    <t>Wewnętrzne</t>
  </si>
  <si>
    <t>Internă</t>
  </si>
  <si>
    <t>Внутренняя</t>
  </si>
  <si>
    <t>Interné</t>
  </si>
  <si>
    <t>Notranji</t>
  </si>
  <si>
    <t>Internt</t>
  </si>
  <si>
    <t>Intern</t>
  </si>
  <si>
    <t>Dahili</t>
  </si>
  <si>
    <t>Belső</t>
  </si>
  <si>
    <t>DOPPIA APERTURA</t>
  </si>
  <si>
    <t>DVOJITÉ OTEVŘENÍ</t>
  </si>
  <si>
    <t>双开门</t>
  </si>
  <si>
    <t>DVOSTRUKO OTVARANJE</t>
  </si>
  <si>
    <t>DOUBLE OUVERTURE</t>
  </si>
  <si>
    <t>ダブルオープニング</t>
  </si>
  <si>
    <t>ΔΙΠΛΟ ΑΝΟΙΓΜΑ</t>
  </si>
  <si>
    <t>DOUBLE OPENING</t>
  </si>
  <si>
    <t>DUBULTĀ ATVĒRŠANA</t>
  </si>
  <si>
    <t>PODWÓJNE OTWIERANIE</t>
  </si>
  <si>
    <t>ABERTURA DOUBLE</t>
  </si>
  <si>
    <t>DESCHIDERE DOUBLĂ</t>
  </si>
  <si>
    <t>ДВОЙНОЕ ОТКРЫТИЕ</t>
  </si>
  <si>
    <t>DVOJITÉ OTVORENIE</t>
  </si>
  <si>
    <t>DVOJNO ODPRTJE</t>
  </si>
  <si>
    <t>DOBLE APERTURA</t>
  </si>
  <si>
    <t>DUBBLA ÖPPNINGAR</t>
  </si>
  <si>
    <t>DOPPELTE ÖFFNUNG</t>
  </si>
  <si>
    <t>ÇİFT AÇILIŞ</t>
  </si>
  <si>
    <t>KETTŐS NYÍLÁS</t>
  </si>
  <si>
    <t>Posizione Etichetta</t>
  </si>
  <si>
    <t>Označení polohy</t>
  </si>
  <si>
    <t>位置标签</t>
  </si>
  <si>
    <t>Oznaka položaja</t>
  </si>
  <si>
    <t>Étiquette de position</t>
  </si>
  <si>
    <t>ポジションラベル</t>
  </si>
  <si>
    <t>Ετικέτα θέσης</t>
  </si>
  <si>
    <t>Position Label</t>
  </si>
  <si>
    <t>Pozīcijas marķējums</t>
  </si>
  <si>
    <t>Etykieta pozycji</t>
  </si>
  <si>
    <t>Etiqueta de posição</t>
  </si>
  <si>
    <t>Eticheta poziției</t>
  </si>
  <si>
    <t>Позиционная этикетка</t>
  </si>
  <si>
    <t>Označenie polohy</t>
  </si>
  <si>
    <t>Posición etiqueta</t>
  </si>
  <si>
    <t>Placering av etikett</t>
  </si>
  <si>
    <t>Position Etikett</t>
  </si>
  <si>
    <t>Pozisyon Etiketi</t>
  </si>
  <si>
    <t>Pozíció címke</t>
  </si>
  <si>
    <t>Angolo Etichetta</t>
  </si>
  <si>
    <t>Úhlový štítek</t>
  </si>
  <si>
    <t>角度标签</t>
  </si>
  <si>
    <t>Oznaka kuta</t>
  </si>
  <si>
    <t>Etiquette d'angle</t>
  </si>
  <si>
    <t>アングルラベル</t>
  </si>
  <si>
    <t>Ετικέτα γωνίας</t>
  </si>
  <si>
    <t>Angle Label</t>
  </si>
  <si>
    <t>Leņķa etiķete</t>
  </si>
  <si>
    <t>Etykieta kątowa</t>
  </si>
  <si>
    <t>Etiqueta angular</t>
  </si>
  <si>
    <t>Etichetă unghiulară</t>
  </si>
  <si>
    <t>Угловая этикетка</t>
  </si>
  <si>
    <t>Uhlový štítok</t>
  </si>
  <si>
    <t>Oznaka kota</t>
  </si>
  <si>
    <t>Etiqueta de ángulo</t>
  </si>
  <si>
    <t>Etikett för vinkel</t>
  </si>
  <si>
    <t>Winkel-Etikett</t>
  </si>
  <si>
    <t>Açı Etiketi</t>
  </si>
  <si>
    <t>Szögcímke</t>
  </si>
  <si>
    <t>CANCELLA DISEGNO</t>
  </si>
  <si>
    <t>ODSTRANIT KRESBU</t>
  </si>
  <si>
    <t>删除绘图</t>
  </si>
  <si>
    <t>JASAN DIZAJN</t>
  </si>
  <si>
    <t>SUPPRIMER LE DESSIN</t>
  </si>
  <si>
    <t>ドローイングを削除する</t>
  </si>
  <si>
    <t>ΔΙΑΓΡΑΦΗ ΣΧΕΔΙΑΣΜΟΥ</t>
  </si>
  <si>
    <t>DELETE DRAWING</t>
  </si>
  <si>
    <t>IZDZĒST ZĪMĒJUMU</t>
  </si>
  <si>
    <t>USUŃ RYSUNEK</t>
  </si>
  <si>
    <t>APAGAR DESENHO</t>
  </si>
  <si>
    <t>ȘTERGEȚI DESENUL</t>
  </si>
  <si>
    <t>УДАЛИТЬ ЧЕРТЕЖ</t>
  </si>
  <si>
    <t>VYMAZAŤ KRESBU</t>
  </si>
  <si>
    <t>IZBRISATI RISBO</t>
  </si>
  <si>
    <t>SUPRIMIR DIBUJO</t>
  </si>
  <si>
    <t>RADERA RITNINGEN</t>
  </si>
  <si>
    <t>ZEICHNUNG LÖSCHEN</t>
  </si>
  <si>
    <t>ÇİZİMİ SİL</t>
  </si>
  <si>
    <t>DRAWING TÖRLÉSE</t>
  </si>
  <si>
    <t>Posizione Etichette</t>
  </si>
  <si>
    <t>Polohové štítky</t>
  </si>
  <si>
    <t>Oznake položaja</t>
  </si>
  <si>
    <t>Positionner les étiquettes</t>
  </si>
  <si>
    <t>Τοποθέτηση ετικετών</t>
  </si>
  <si>
    <t>Labels Position</t>
  </si>
  <si>
    <t>Pozīcijas etiķetes</t>
  </si>
  <si>
    <t>Pozycjonowanie Etykiety</t>
  </si>
  <si>
    <t>Posição das etiquetas</t>
  </si>
  <si>
    <t>Poziția etichetelor</t>
  </si>
  <si>
    <t>Положение меток</t>
  </si>
  <si>
    <t>Umiestnenie štítkov</t>
  </si>
  <si>
    <t>Položaj nalepk</t>
  </si>
  <si>
    <t>Posición etiquetas</t>
  </si>
  <si>
    <t>Placering av etiketter</t>
  </si>
  <si>
    <t>Aufkleber Position</t>
  </si>
  <si>
    <t>Pozisyon Etiketler</t>
  </si>
  <si>
    <t>Címkék pozíció</t>
  </si>
  <si>
    <t>fissaggi non inclusi</t>
  </si>
  <si>
    <t>Fixings not included</t>
  </si>
  <si>
    <t>vite</t>
  </si>
  <si>
    <t>screw</t>
  </si>
  <si>
    <t>bullone</t>
  </si>
  <si>
    <t>bolt</t>
  </si>
  <si>
    <t>Stampa</t>
  </si>
  <si>
    <t>Print</t>
  </si>
  <si>
    <t>Relazione Tecnica</t>
  </si>
  <si>
    <t>Technical Report</t>
  </si>
  <si>
    <t>Calcolo del sistema linea vita "PATROL"</t>
  </si>
  <si>
    <t>VÝPOČET ZÁCHRANNÉ LINIE HLÍDKY</t>
  </si>
  <si>
    <t>巡逻生命线计算</t>
  </si>
  <si>
    <t>Proračun sustava za spašavanje "PATROL".</t>
  </si>
  <si>
    <t>CALCUL DE LA LIGNE DE VIE "PATROL"</t>
  </si>
  <si>
    <t>PATROL LIFE LINE CALCULATOR</t>
  </si>
  <si>
    <t>Cálculo do sistema de linhas de vida PATROL</t>
  </si>
  <si>
    <t>Cálculo del sistema de línea de vida "PATROL</t>
  </si>
  <si>
    <t>PATROL"-Rettungsleinen-Systemberechnung</t>
  </si>
  <si>
    <t>Forze e deformazione del sistema</t>
  </si>
  <si>
    <t>Síly a deformace systému</t>
  </si>
  <si>
    <t>系统受力和变形</t>
  </si>
  <si>
    <t>Sile i deformacije sustava</t>
  </si>
  <si>
    <t>Forces et déformations du système</t>
  </si>
  <si>
    <t>Forças e deformações do sistema</t>
  </si>
  <si>
    <t>Fuerzas y deformaciones del sistema</t>
  </si>
  <si>
    <t>Systemkräfte und Verformung</t>
  </si>
  <si>
    <t>Assorbitore-tensionatore</t>
  </si>
  <si>
    <t>Absorber-tensioner</t>
  </si>
  <si>
    <t>吸收器-拉力器</t>
  </si>
  <si>
    <t>Apsorber-zatezač</t>
  </si>
  <si>
    <t>Absorbeur-tendeur</t>
  </si>
  <si>
    <t>Assorber-Tensioner</t>
  </si>
  <si>
    <t>Absorvedor-tensor</t>
  </si>
  <si>
    <t>Absorbedor-tensor</t>
  </si>
  <si>
    <t>Absorber-Spannvorrichtung</t>
  </si>
  <si>
    <t>Non è consigliabile avere una linea di vita con angoli inferiori a 90°. In questi casi, si raccomanda di dividere la linea di vita in quel punto.</t>
  </si>
  <si>
    <t>Nedoporučuje se mít záchranné lano s úhly menšími než 90°. V takových případech se doporučuje záchranné lano v tomto bodě rozdělit.</t>
  </si>
  <si>
    <t>生命线的角度小于90°是不可取的。在这种情况下，建议在该点上拆分救生绳。</t>
  </si>
  <si>
    <t>Ne preporučuje se imati uže za spašavanje s kutovima manjim od 90°. U tim slučajevima preporuča se razdvojiti pojas za spašavanje na tom mjestu.</t>
  </si>
  <si>
    <t>Il est déconseillé d'avoir une ligne de vie avec des angles inférieurs à 90°. Dans ce cas, il est recommandé de diviser la ligne de vie à cet endroit.</t>
  </si>
  <si>
    <t>Não é aconselhável ter uma linha de vida com ângulos inferiores a 90°. Nestes casos, recomenda-se que a linha de vida seja dividida nesse ponto.</t>
  </si>
  <si>
    <t>No es aconsejable tener una línea de vida con ángulos inferiores a 90°. En tales casos, se recomienda dividir la línea de vida en ese punto.</t>
  </si>
  <si>
    <t>Es ist nicht ratsam, eine Rettungsleine mit einem Winkel von weniger als 90° zu verwenden. In solchen Fällen empfiehlt es sich, die Laufsicherung an dieser Stelle zu teilen.</t>
  </si>
  <si>
    <t>Numero max di utenti</t>
  </si>
  <si>
    <t>Maximální počet uživatelů</t>
  </si>
  <si>
    <t>最大用户数</t>
  </si>
  <si>
    <t>Maksimalan broj korisnika</t>
  </si>
  <si>
    <t>Nombre maximal d'utilisateurs</t>
  </si>
  <si>
    <t>Número máximo de utilizadores</t>
  </si>
  <si>
    <t>Número máximo de usuarios</t>
  </si>
  <si>
    <t>Max. Anzahl der Benutzer</t>
  </si>
  <si>
    <t>Carichi da manuale di installazione (EN795)</t>
  </si>
  <si>
    <t>Zatížení podle instalační příručky (EN795)</t>
  </si>
  <si>
    <t>按照安装手册（EN795）规定的载荷</t>
  </si>
  <si>
    <t>Učitava se iz priručnika za instalaciju (EN795)</t>
  </si>
  <si>
    <t>Charges selon le manuel d'installation (EN795)</t>
  </si>
  <si>
    <t>Cargas de acordo com o manual de instalação (EN795)</t>
  </si>
  <si>
    <t>Cargas según manual de instalación (EN795)</t>
  </si>
  <si>
    <t>Belastungen gemäß Montageanleitung (EN795)</t>
  </si>
  <si>
    <t>Interasse</t>
  </si>
  <si>
    <t>Středová vzdálenost</t>
  </si>
  <si>
    <t>中心距离</t>
  </si>
  <si>
    <t>Međuosovinski razmak</t>
  </si>
  <si>
    <t>Entraxe</t>
  </si>
  <si>
    <t>Distância central</t>
  </si>
  <si>
    <t>Distancia entre ejes</t>
  </si>
  <si>
    <t>Achsabstand</t>
  </si>
  <si>
    <t>Flessione massima Cavo</t>
  </si>
  <si>
    <t>Maximální průhyb Lano</t>
  </si>
  <si>
    <t>最大挠度 电缆</t>
  </si>
  <si>
    <t>Maksimalno savijanje kabela</t>
  </si>
  <si>
    <t>Déviation maximale Câble</t>
  </si>
  <si>
    <t>Max Deflection Cable</t>
  </si>
  <si>
    <t>Deflexão máxima Cabo</t>
  </si>
  <si>
    <t>Desviación máxima Cable</t>
  </si>
  <si>
    <t>Maximale Durchbiegung Seil</t>
  </si>
  <si>
    <t>Lunghezza massima campata</t>
  </si>
  <si>
    <t>Maximální délka rozpětí</t>
  </si>
  <si>
    <t>最大跨度长度</t>
  </si>
  <si>
    <t>Maksimalna duljina raspona</t>
  </si>
  <si>
    <t>Longueur maximale de la travée</t>
  </si>
  <si>
    <t>Comprimento máximo do vão</t>
  </si>
  <si>
    <t>Longitud máxima del vano</t>
  </si>
  <si>
    <t>Maximale Länge der Spannweite</t>
  </si>
  <si>
    <t>Carico applicato alla campata all'interno di questo segmento</t>
  </si>
  <si>
    <t>Zatížení působící na rozpětí v tomto segmentu</t>
  </si>
  <si>
    <t>在此段内应用于跨度的载荷</t>
  </si>
  <si>
    <t>Opterećenje primijenjeno na raspon unutar ovog segmenta</t>
  </si>
  <si>
    <t>Charge appliquée à la portée à l'intérieur de ce segment</t>
  </si>
  <si>
    <t>Load applied on span within this segment</t>
  </si>
  <si>
    <t>Carga aplicada ao vão dentro deste segmento</t>
  </si>
  <si>
    <t>Carga aplicada al vano dentro de este segmento</t>
  </si>
  <si>
    <t>Auf die Spannweite innerhalb dieses Segments wirkende Last</t>
  </si>
  <si>
    <t>Reazione sugli elementi di ancoraggio della fune a più campate</t>
  </si>
  <si>
    <t>Reakce na kotevní prvky lana ve více rozpětích</t>
  </si>
  <si>
    <t>多跨绳索锚固件上的反作用力</t>
  </si>
  <si>
    <t>Reakcija na elemente sidrenja višerasponskog užeta</t>
  </si>
  <si>
    <t>Réaction sur les éléments d'ancrage de câbles à travées multiples</t>
  </si>
  <si>
    <t>Reacção em elementos de ancoragem de cabos com vários vãos</t>
  </si>
  <si>
    <t>Reacción en elementos de anclaje de cable de varios vanos</t>
  </si>
  <si>
    <t>Reaktion auf mehrfeldrige Seilverankerungselemente</t>
  </si>
  <si>
    <t>Curva</t>
  </si>
  <si>
    <t>Křivka</t>
  </si>
  <si>
    <t>曲线</t>
  </si>
  <si>
    <t>Zavoj</t>
  </si>
  <si>
    <t>Courbe</t>
  </si>
  <si>
    <t>Kurve</t>
  </si>
  <si>
    <t>Carico massimo di progetto</t>
  </si>
  <si>
    <t>Maximální návrhové zatížení</t>
  </si>
  <si>
    <t>最大设计载荷</t>
  </si>
  <si>
    <t>Maksimalno proračunsko opterećenje</t>
  </si>
  <si>
    <t>Charge maximale de conception</t>
  </si>
  <si>
    <t>Carga máxima de projecto</t>
  </si>
  <si>
    <t>Carga máxima de diseño</t>
  </si>
  <si>
    <t>Maximale Bemessungslast</t>
  </si>
  <si>
    <t>Freccia della fune della campata rispetto ai vincoli delle estremità di giunzione</t>
  </si>
  <si>
    <t>Křivka rozpětí lana ve vztahu k omezením konců spojů</t>
  </si>
  <si>
    <t>跨度绳索的曲线与连接端约束的关系</t>
  </si>
  <si>
    <t>Otklon rasponskog užeta u odnosu na ograničenja kraja spoja</t>
  </si>
  <si>
    <t>Courbe du câble de la travée par rapport aux contraintes des extrémités de l'épissure</t>
  </si>
  <si>
    <t>Curva do cabo do vão em relação às restrições das extremidades das emendas</t>
  </si>
  <si>
    <t>Curva de la cuerda del vano en relación con las limitaciones de los extremos de empalme</t>
  </si>
  <si>
    <t>Kurve des Spannseils in Bezug auf die Zwänge der Spleißenden</t>
  </si>
  <si>
    <t>Campata caricata</t>
  </si>
  <si>
    <t>Zatížené rozpětí</t>
  </si>
  <si>
    <t>受载跨度</t>
  </si>
  <si>
    <t>Zaljev natovaren</t>
  </si>
  <si>
    <t>Portée chargée</t>
  </si>
  <si>
    <t>Loaded Span</t>
  </si>
  <si>
    <t>Vão carregado</t>
  </si>
  <si>
    <t>Vano cargado</t>
  </si>
  <si>
    <t>Belastete Spannweite</t>
  </si>
  <si>
    <t>Šipka</t>
  </si>
  <si>
    <t>箭头</t>
  </si>
  <si>
    <t>Strijela</t>
  </si>
  <si>
    <t>Flèche</t>
  </si>
  <si>
    <t xml:space="preserve">Deflection </t>
  </si>
  <si>
    <t>Seta</t>
  </si>
  <si>
    <t>Flecha</t>
  </si>
  <si>
    <t>Pfeil</t>
  </si>
  <si>
    <t>Modulo</t>
  </si>
  <si>
    <t>Modul</t>
  </si>
  <si>
    <t>模块</t>
  </si>
  <si>
    <t>Module</t>
  </si>
  <si>
    <t>Módulo</t>
  </si>
  <si>
    <t xml:space="preserve"> m per l'allungamento della fune già considerato</t>
  </si>
  <si>
    <t xml:space="preserve"> m pro již uvažované prodloužení lana</t>
  </si>
  <si>
    <t xml:space="preserve"> 米，为已经考虑的绳索伸长率</t>
  </si>
  <si>
    <t xml:space="preserve">  m za već razmatrano produljenje užeta</t>
  </si>
  <si>
    <t xml:space="preserve"> m pour l'allongement du câble déjà pris en compte</t>
  </si>
  <si>
    <t xml:space="preserve"> m for rope elongation already considered</t>
  </si>
  <si>
    <t xml:space="preserve"> m para o alongamento do cabo já considerado</t>
  </si>
  <si>
    <t xml:space="preserve"> m para el alargamiento de la cuerda ya considerado</t>
  </si>
  <si>
    <t xml:space="preserve"> m für die bereits berücksichtigte Seildehnung</t>
  </si>
  <si>
    <t>Není vhodné mít záchranné lano s úhly menšími než 90°. V takových případech se doporučuje záchranné lano v tomto bodě rozdělit.</t>
  </si>
  <si>
    <t>角度小于90°的生命线是不可取的。在这种情况下，建议在这一点上对生命线进行分割。</t>
  </si>
  <si>
    <t>Não é aconselhável ter uma linha de vida com ângulos inferiores a 90°. Nestes casos, recomenda-se a divisão da linha de vida nesse ponto.</t>
  </si>
  <si>
    <t>Es ist nicht ratsam, eine Rettungsleine mit Winkeln von weniger als 90° zu verwenden. In solchen Fällen empfiehlt es sich, die Rettungsleine an dieser Stelle zu teilen.</t>
  </si>
  <si>
    <t>Disegnare i segmenti della linea di vita</t>
  </si>
  <si>
    <t>Kreslení segmentů záchranného lana</t>
  </si>
  <si>
    <t>绘制救生绳段</t>
  </si>
  <si>
    <t>Nacrtajte segmente linije života</t>
  </si>
  <si>
    <t>Dessin des segments de la ligne de vie</t>
  </si>
  <si>
    <t>Draw the segments of your life line</t>
  </si>
  <si>
    <t>Desenho dos segmentos da linha de vida</t>
  </si>
  <si>
    <t>Trazado de los segmentos de la línea de vida</t>
  </si>
  <si>
    <t>Zeichnen der Rettungsleinenabschnitte</t>
  </si>
  <si>
    <t>I fissaggi e gli ancoraggi devono essere gli stessi in tutti i punti di ancoraggio.</t>
  </si>
  <si>
    <t>Upevnění a kotvení musí být ve všech kotevních bodech stejné.</t>
  </si>
  <si>
    <t>所有锚点的固定和锚固必须相同。</t>
  </si>
  <si>
    <t>Pričvršćivači i sidra moraju biti isti na svim sidrištima.</t>
  </si>
  <si>
    <t>Les fixations et les ancrages doivent être identiques à tous les points d'ancrage.</t>
  </si>
  <si>
    <t>As fixações e as ancoragens devem ser as mesmas em todos os pontos de ancoragem.</t>
  </si>
  <si>
    <t>Las fijaciones y anclajes deben ser los mismos en todos los puntos de anclaje.</t>
  </si>
  <si>
    <t>Die Befestigungen und Verankerungen müssen an allen Verankerungspunkten identisch sein.</t>
  </si>
  <si>
    <t>Prima della costruzione, tutti i calcoli devono essere verificati e approvati dal progettista responsabile.</t>
  </si>
  <si>
    <t>Před zahájením stavby musí být všechny výpočty ověřeny a schváleny odpovědným projektantem.</t>
  </si>
  <si>
    <t>在施工前，所有的计算都必须经过负责任的设计师的核实和批准。</t>
  </si>
  <si>
    <t>Prije izgradnje sve proračune mora ovjeriti i odobriti odgovorni projektant.</t>
  </si>
  <si>
    <t>Avant la construction, tous les calculs doivent être vérifiés et approuvés par le concepteur responsable.</t>
  </si>
  <si>
    <t>Antes da construção, todos os cálculos devem ser verificados e aprovados pelo projectista responsável.</t>
  </si>
  <si>
    <t>Antes de la construcción, todos los cálculos deben ser verificados y aprobados por el diseñador responsable.</t>
  </si>
  <si>
    <t>Vor dem Bau müssen alle Berechnungen vom zuständigen Konstrukteur überprüft und genehmigt werden.</t>
  </si>
  <si>
    <t>NOTE</t>
  </si>
  <si>
    <t>POZNÁMKY</t>
  </si>
  <si>
    <t>注意事项</t>
  </si>
  <si>
    <t>BILJEŠKA</t>
  </si>
  <si>
    <t>NOTAS</t>
  </si>
  <si>
    <t>ANMERKUNGEN</t>
  </si>
  <si>
    <t>I valori di resistenza meccanica e la geometria si riferiscono alla certificazione del prodotto.</t>
  </si>
  <si>
    <t>Hodnoty mechanické odolnosti a geometrie se vztahují k certifikaci výrobku.</t>
  </si>
  <si>
    <t>机械阻力值和几何形状参考产品认证。</t>
  </si>
  <si>
    <t>Vrijednosti mehaničke otpornosti i geometrija odnose se na certifikaciju proizvoda.</t>
  </si>
  <si>
    <t>Les valeurs de résistance mécanique et la géométrie se réfèrent à la certification du produit.</t>
  </si>
  <si>
    <t>Os valores de resistência mecânica e a geometria referem-se à certificação do produto.</t>
  </si>
  <si>
    <t>Los valores de resistencia mecánica y la geometría se refieren a la certificación del producto.</t>
  </si>
  <si>
    <t>Die Werte für die mechanische Festigkeit und die Geometrie beziehen sich auf die Produktzertifizierung.</t>
  </si>
  <si>
    <t>La verifica della resistenza dei sistemi di ancoraggio deve essere realizzata a parte.</t>
  </si>
  <si>
    <t>Ověření pevnosti kotevních systémů musí být provedeno samostatně.</t>
  </si>
  <si>
    <t>锚固系统的强度验证必须单独进行。</t>
  </si>
  <si>
    <t>Provjera čvrstoće sustava za sidrenje mora se provesti zasebno.</t>
  </si>
  <si>
    <t>La vérification de la résistance des systèmes d'ancrage doit être effectuée séparément.</t>
  </si>
  <si>
    <t>A verificação da resistência dos sistemas de ancoragem deve ser efectuada separadamente.</t>
  </si>
  <si>
    <t>La verificación de la resistencia de los sistemas de anclaje debe realizarse por separado.</t>
  </si>
  <si>
    <t>Der Nachweis der Festigkeit der Verankerungssysteme ist gesondert zu erbringen.</t>
  </si>
  <si>
    <t>Tutti i calcoli devono essere verificati e approvati dal progettista responsabile prima dell'esecuzione. Il progettista è tenuto a verificare, ad ogni utilizzo, la conformità dei dati alle normative vigenti e al progetto. La responsabilità ultima della scelta del prodotto appropriato per una specifica applicazione spetta al progettista.</t>
  </si>
  <si>
    <t>Všechny výpočty musí být před realizací ověřeny a schváleny odpovědným projektantem. Projektant je odpovědný za ověření shody údajů s platnými předpisy a za návrh při každém použití. Konečnou odpovědnost za výběr vhodného výrobku pro konkrétní použití nese projektant.</t>
  </si>
  <si>
    <t>所有的计算结果必须在执行前由负责的设计师进行核实和批准。设计者负责验证数据是否符合适用的规定，以及设计是否符合每一种用途。为特定的应用选择合适的产品的最终责任在于设计师。</t>
  </si>
  <si>
    <t>Sve proračune prije izvođenja mora ovjeriti i odobriti odgovorni projektant. Projektant je dužan pri svakoj uporabi provjeriti usklađenost podataka s važećim propisima i projektom. Konačna odgovornost za odabir odgovarajućeg proizvoda za određenu primjenu leži na dizajneru.</t>
  </si>
  <si>
    <t>Tous les calculs doivent être vérifiés et approuvés par le concepteur responsable avant l'exécution. Le concepteur est responsable de la vérification de la conformité des données avec les réglementations applicables et de la conception avec chaque utilisation. La responsabilité finale de la sélection du produit approprié pour une application spécifique incombe au concepteur.</t>
  </si>
  <si>
    <t>Todos os cálculos devem ser verificados e aprovados pelo projectista responsável antes da execução. O projectista é responsável por verificar a conformidade dos dados com os regulamentos aplicáveis e o projecto com cada utilização. A responsabilidade final pela selecção do produto adequado para uma aplicação específica cabe ao projectista.</t>
  </si>
  <si>
    <t>Todos los cálculos deben ser verificados y aprobados por el proyectista responsable antes de la ejecución. El proyectista es responsable de verificar la conformidad de los datos con la normativa aplicable y del diseño con cada uso. La responsabilidad última de la selección del producto adecuado para una aplicación específica recae en el proyectista.</t>
  </si>
  <si>
    <t>Alle Berechnungen müssen vor der Ausführung durch den verantwortlichen Planer überprüft und genehmigt werden. Der Planer ist dafür verantwortlich, die Konformität der Daten mit den geltenden Vorschriften und der Konstruktion bei jeder Verwendung zu überprüfen. Die endgültige Verantwortung für die Auswahl des geeigneten Produkts für eine bestimmte Anwendung liegt beim Planer.</t>
  </si>
  <si>
    <t>I risultati ottenuti in questa scheda sono di natura indicativa e vanno considerati come un servizio tecnico-commerciale nell'ambito dell'attività di vendita di Rotho Blaas srl. Il numero e lo spessore degli inserti devono essere determinati dal progettista responsabile che è tenuto a verificare l'esattezza dei risultati derivanti dall'elaborazione dei dati inseriti. Rotho Blaas srl non garantisce la conformità alla normativa vigente e la progettazione dei calcoli effettuati tramite questo foglio di calcolo. In particolare, in seguito alla modifica delle disposizioni pertinenti, quali ad esempio norme, approvazioni, ecc. il programma potrebbe diventare, in parte o in toto, non valido. Rotho Blaas srl non garantisce e non sarà responsabile per danni o conseguenze dirette o indirette o altro, in qualsiasi modo (garanzia per difetti, garanzia per malfunzionamento, responsabilità del prodotto o legale, ecc.) L'Utente dichiara di utilizzare il foglio di calcolo in qualità di professionista con l'obbligo e la responsabilità di verificare che il foglio di calcolo risponda alle sue specifiche esigenze.</t>
  </si>
  <si>
    <t>Výsledky získané v tomto listu mají orientační charakter a je třeba je považovat za technicko-obchodní službu v rámci prodejní činnosti společnosti Rotho Blaas srl. Počet a tloušťku vložek musí určit odpovědný projektant, který je povinen ověřit správnost získaných výsledků zpracováním zadaných údajů. Společnost Rotho Blaas srl neručí za soulad s platnými předpisy a za provedení výpočtů provedených pomocí této tabulky. Zejména v důsledku změn příslušných předpisů, jako jsou normy, schválení atd. může program částečně nebo zcela pozbýt platnosti. Společnost Rotho Blaas s.r.o. nezaručuje a neodpovídá za žádné přímé ani nepřímé škody nebo následky (záruka za vady, záruka za nefunkčnost, odpovědnost za výrobek nebo právní odpovědnost atd. Uživatel prohlašuje, že tabulkový procesor používá jako profesionál s povinností a odpovědností ověřit, zda tabulkový procesor splňuje jeho konkrétní požadavky.</t>
  </si>
  <si>
    <t>本表中获得的结果是指示性的，应视为Rotho Blaas srl公司销售活动中的一项技术-商业服务。嵌入物的数量和厚度必须由负责的设计师决定，他有义务通过处理输入的数据来验证所获得的结果的准确性。Rotho Blaas srl公司不保证使用本电子表格进行的计算符合现行法规和设计。特别是，由于相关法规的变化，如标准、批准等，该方案可能部分或全部无效。Rotho Blaas有限公司不保证也不对任何直接或间接的损害或后果负责（缺陷保证、故障保证、产品或法律责任等）。 用户声明他/她是作为专业人士使用该电子表格，有义务和责任验证该电子表格是否符合他/她的具体要求。</t>
  </si>
  <si>
    <t>Rezultati dobiveni u ovoj tablici indikativne su prirode i trebaju se smatrati tehničko-komercijalnom uslugom u okviru prodajne aktivnosti tvrtke Rotho Blaas srl. Broj i debljinu umetaka mora odrediti odgovorni projektant koji je dužan provjeriti točnost rezultata obrade unesenih podataka. Rotho Blaas srl ne jamči usklađenost s važećim zakonima i dizajnom izračuna napravljenih pomoću ove proračunske tablice. Konkretno, nakon izmjene relevantnih odredbi, kao što su na primjer standardi, odobrenja itd. program može postati, u cijelosti ili djelomično, nevažeći. Rotho Blaas srl ne jamči i neće biti odgovoran za štete ili izravne ili neizravne posljedice ili na bilo koji drugi način, na bilo koji način (jamstvo za nedostatke, jamstvo za kvarove, proizvod ili pravna odgovornost, itd.). Korisnik izjavljuje da koristi proračunsku tablicu kao profesionalac s obvezom i odgovornošću provjeriti zadovoljava li proračunska tablica vaše specifične potrebe.</t>
  </si>
  <si>
    <t>Les résultats obtenus dans cette fiche ont un caractère indicatif et doivent être considérés comme un service technico-commercial dans le cadre de l'activité commerciale de Rotho Blaas srl. Le nombre et l'épaisseur des inserts doivent être déterminés par le concepteur responsable, qui est tenu de vérifier l'exactitude des résultats obtenus en traitant les données introduites. Rotho Blaas srl ne garantit pas la conformité aux normes en vigueur et la conception des calculs effectués à l'aide de cette feuille de calcul. En particulier, à la suite de changements dans les réglementations pertinentes, telles que les normes, les approbations, etc., le programme peut devenir invalide en partie ou en totalité. Rotho Blaas Ltd. ne garantit pas et n'est pas responsable des dommages ou conséquences directs ou indirects quels qu'ils soient (garantie pour les défauts, garantie pour les dysfonctionnements, responsabilité du fait des produits ou responsabilité juridique, etc. L'utilisateur déclare qu'il utilise le tableur en tant que professionnel avec l'obligation et la responsabilité de vérifier que le tableur répond à ses besoins spécifiques.</t>
  </si>
  <si>
    <t>Os resultados obtidos nesta ficha são de natureza indicativa e devem ser considerados como um serviço técnico-comercial no âmbito da actividade comercial da Rotho Blaas srl. O número e a espessura das inserções devem ser determinados pelo projectista responsável, que tem a obrigação de verificar a exactidão dos resultados obtidos através do tratamento dos dados introduzidos. Rotho Blaas srl não garante a conformidade com a regulamentação em vigor e a concepção dos cálculos efectuados com esta folha de cálculo. Em particular, devido a alterações nas normas aplicáveis, tais como normas, aprovações, etc., o programa pode tornar-se inválido em parte ou na totalidade. A Rotho Blaas Ltd. não garante e não será responsável por qualquer dano ou consequência directa ou indirecta (garantia de defeitos, garantia de mau funcionamento, responsabilidade pelo produto ou legal, etc.). O utilizador declara que está a utilizar a folha de cálculo como profissional, com a obrigação e a responsabilidade de verificar se a folha de cálculo satisfaz as suas necessidades específicas.</t>
  </si>
  <si>
    <t>Los resultados obtenidos en esta ficha son de carácter indicativo y deben considerarse como un servicio técnico-comercial dentro de la actividad de venta de Rotho Blaas srl. El número y el espesor de los insertos deben ser determinados por el proyectista responsable, que está obligado a verificar la exactitud de los resultados obtenidos mediante el tratamiento de los datos introducidos. Rotho Blaas srl no garantiza la conformidad con la normativa vigente y el diseño de los cálculos realizados con esta hoja de cálculo. En particular, como consecuencia de cambios en la normativa aplicable, como normas, homologaciones, etc., el programa puede perder validez total o parcial. Rotho Blaas Ltd. no garantiza y no será responsable de ningún daño o consecuencia directa o indirecta (garantía por defectos, garantía por mal funcionamiento, responsabilidad legal o del producto, etc.) El usuario declara que utiliza la hoja de cálculo como profesional con la obligación y responsabilidad de verificar que la hoja de cálculo cumple sus requisitos específicos.</t>
  </si>
  <si>
    <t>Die in diesem Blatt enthaltenen Ergebnisse sind Richtwerte und sind als technisch-kommerzieller Service im Rahmen der Verkaufstätigkeit der Rotho Blaas srl zu betrachten. Die Anzahl und die Dicke der Einlagen müssen vom verantwortlichen Planer festgelegt werden, der verpflichtet ist, die Richtigkeit der durch die Verarbeitung der eingegebenen Daten erhaltenen Ergebnisse zu überprüfen. Rotho Blaas srl übernimmt keine Garantie für die Übereinstimmung der mit dieser Tabelle durchgeführten Berechnungen mit den geltenden Vorschriften und der Konstruktion. Insbesondere kann das Programm aufgrund von Änderungen der einschlägigen Vorschriften, wie Normen, Zulassungen usw., ganz oder teilweise ungültig werden. Die Rotho Blaas AG übernimmt keine Garantie und haftet nicht für direkte oder indirekte Schäden oder Folgen (Mängelhaftung, Garantie für Fehlfunktionen, Produkt- oder Rechtshaftung usw.) Der Benutzer erklärt, dass er das Tabellenblatt als Fachmann verwendet und verpflichtet ist, zu überprüfen, ob das Tabellenblatt seinen spezifischen Anforderungen entspricht.</t>
  </si>
  <si>
    <t>ancoraggi alla campata caricata</t>
  </si>
  <si>
    <t>sidra na opterećeni raspon</t>
  </si>
  <si>
    <t>ancrages à la portée chargée</t>
  </si>
  <si>
    <t>anclajes al vano con carga</t>
  </si>
  <si>
    <t>Verankerungen an der belasteten Spannweite</t>
  </si>
  <si>
    <t>ancoraggi alla campata non caricata</t>
  </si>
  <si>
    <t>sidra za neopterećeni raspon</t>
  </si>
  <si>
    <t>ancrages à la portée non chargée</t>
  </si>
  <si>
    <t>anclajes al vano sin carga</t>
  </si>
  <si>
    <t>Verankerungen an der unbelasteten Spannweite</t>
  </si>
  <si>
    <t>Intermedio Tratto</t>
  </si>
  <si>
    <t>Last Intermediate</t>
  </si>
  <si>
    <t>Zadnji posrednik</t>
  </si>
  <si>
    <t>Intermédiaire du segment</t>
  </si>
  <si>
    <t>Intermediate of segment</t>
  </si>
  <si>
    <t>Intermedio de segmento</t>
  </si>
  <si>
    <t>Zwischenprodukt des Segments</t>
  </si>
  <si>
    <t>Termine la linea vita con Fine o Loop</t>
  </si>
  <si>
    <t>End the lifeline with End or Loop</t>
  </si>
  <si>
    <t>Završite pojas za spašavanje pomoću Fino ili Loop</t>
  </si>
  <si>
    <t>Terminer la ligne de vie avec End ou Loop</t>
  </si>
  <si>
    <t>Fin de línea de vida con extremo o bucle</t>
  </si>
  <si>
    <t>Ende der Rettungsleine mit Ende oder Schleife</t>
  </si>
  <si>
    <t>sul Desktop</t>
  </si>
  <si>
    <t>sur le ordinateur de bureau</t>
  </si>
  <si>
    <t>on the Desktop</t>
  </si>
  <si>
    <t>en el escritorio</t>
  </si>
  <si>
    <t>Auf dem Bildschirm</t>
  </si>
  <si>
    <t>Codice Lingua Sistema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</si>
</sst>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44" formatCode="_-* #,##0.00\ &quot;€&quot;_-;\-* #,##0.00\ &quot;€&quot;_-;_-* &quot;-&quot;??\ &quot;€&quot;_-;_-@_-"/>
    <numFmt numFmtId="43" formatCode="_-* #,##0.00_-;\-* #,##0.00_-;_-* &quot;-&quot;??_-;_-@_-"/>
    <numFmt numFmtId="164" formatCode="0.0000"/>
    <numFmt numFmtId="165" formatCode="0.000"/>
    <numFmt numFmtId="166" formatCode="0.00000"/>
    <numFmt numFmtId="167" formatCode="#,##0.00\ &quot;kg&quot;"/>
    <numFmt numFmtId="168" formatCode="0.0"/>
    <numFmt numFmtId="169" formatCode="_([$€-2]\ * #,##0.00_);_([$€-2]\ * \(#,##0.00\);_([$€-2]\ * &quot;-&quot;??_);_(@_)"/>
    <numFmt numFmtId="170" formatCode="_-* #,##0.00\ [$zł-415]_-;\-* #,##0.00\ [$zł-415]_-;_-* &quot;-&quot;??\ [$zł-415]_-;_-@_-"/>
    <numFmt numFmtId="171" formatCode="_-* #,##0_-;\-* #,##0_-;_-* &quot;-&quot;??_-;_-@_-"/>
    <numFmt numFmtId="172" formatCode="0.0000000000"/>
    <numFmt numFmtId="173" formatCode="#0.0&quot; kN&quot;"/>
    <numFmt numFmtId="174" formatCode="#0.0"/>
    <numFmt numFmtId="175" formatCode="#,##0\ \°"/>
  </numFmts>
  <fonts count="69">
    <font>
      <sz val="10"/>
      <color theme="1"/>
      <name val="Verdana"/>
      <family val="2"/>
    </font>
    <font>
      <sz val="10"/>
      <color theme="1"/>
      <name val="Verdana"/>
      <family val="2"/>
    </font>
    <font>
      <b/>
      <sz val="10"/>
      <color theme="1"/>
      <name val="Verdana"/>
      <family val="2"/>
    </font>
    <font>
      <sz val="11"/>
      <color theme="1"/>
      <name val="Verdana Pro Cond Light"/>
      <family val="2"/>
      <scheme val="minor"/>
    </font>
    <font>
      <sz val="10"/>
      <color rgb="FF000000"/>
      <name val="Verdana"/>
      <family val="2"/>
    </font>
    <font>
      <sz val="11"/>
      <color theme="1"/>
      <name val="Verdana"/>
      <family val="2"/>
    </font>
    <font>
      <sz val="10"/>
      <name val="Arial"/>
      <family val="2"/>
    </font>
    <font>
      <sz val="10"/>
      <name val="Verdana"/>
      <family val="2"/>
    </font>
    <font>
      <sz val="12"/>
      <color theme="1"/>
      <name val="Verdana Pro Cond Light"/>
      <family val="2"/>
      <scheme val="minor"/>
    </font>
    <font>
      <sz val="10"/>
      <color theme="0"/>
      <name val="Verdana"/>
      <family val="2"/>
    </font>
    <font>
      <b/>
      <sz val="11"/>
      <color theme="0"/>
      <name val="Verdana Pro Cond Light"/>
      <family val="2"/>
      <scheme val="minor"/>
    </font>
    <font>
      <sz val="8"/>
      <name val="Verdana"/>
      <family val="2"/>
    </font>
    <font>
      <b/>
      <sz val="11"/>
      <color theme="1"/>
      <name val="Verdana Pro Cond Light"/>
      <family val="2"/>
      <scheme val="minor"/>
    </font>
    <font>
      <sz val="11"/>
      <name val="Verdana Pro Cond"/>
      <family val="2"/>
      <scheme val="major"/>
    </font>
    <font>
      <b/>
      <sz val="12"/>
      <color rgb="FFBF293F"/>
      <name val="Verdana"/>
      <family val="2"/>
    </font>
    <font>
      <sz val="11"/>
      <color theme="0"/>
      <name val="Verdana"/>
      <family val="2"/>
    </font>
    <font>
      <sz val="11"/>
      <color theme="1"/>
      <name val="Verdana Pro Cond"/>
      <family val="2"/>
      <scheme val="major"/>
    </font>
    <font>
      <sz val="11"/>
      <color theme="0"/>
      <name val="Verdana Pro Cond"/>
      <family val="2"/>
      <scheme val="major"/>
    </font>
    <font>
      <sz val="11"/>
      <name val="Verdana"/>
      <family val="2"/>
    </font>
    <font>
      <sz val="11"/>
      <color theme="1"/>
      <name val="Calibri"/>
      <family val="2"/>
    </font>
    <font>
      <sz val="8"/>
      <color theme="1"/>
      <name val="Verdana"/>
      <family val="2"/>
    </font>
    <font>
      <sz val="8"/>
      <color theme="1"/>
      <name val="Verdana Pro Cond Light"/>
      <family val="2"/>
      <scheme val="minor"/>
    </font>
    <font>
      <sz val="11"/>
      <color theme="0"/>
      <name val="Verdana Pro Cond Light"/>
      <family val="2"/>
      <scheme val="minor"/>
    </font>
    <font>
      <sz val="12"/>
      <name val="Verdana Pro Cond Light"/>
      <family val="2"/>
      <scheme val="minor"/>
    </font>
    <font>
      <sz val="11"/>
      <name val="Verdana Pro Cond Light"/>
      <family val="2"/>
      <scheme val="minor"/>
    </font>
    <font>
      <sz val="9"/>
      <color theme="1"/>
      <name val="Verdana Pro Cond Light"/>
      <family val="2"/>
      <scheme val="minor"/>
    </font>
    <font>
      <sz val="8"/>
      <color theme="0"/>
      <name val="Verdana"/>
      <family val="2"/>
    </font>
    <font>
      <b/>
      <sz val="14"/>
      <name val="Verdana"/>
      <family val="2"/>
    </font>
    <font>
      <b/>
      <sz val="10"/>
      <name val="Verdana"/>
      <family val="2"/>
    </font>
    <font>
      <i/>
      <sz val="10"/>
      <name val="Verdana"/>
      <family val="2"/>
    </font>
    <font>
      <vertAlign val="superscript"/>
      <sz val="11"/>
      <color theme="1"/>
      <name val="Verdana Pro Cond Light"/>
      <family val="2"/>
      <scheme val="minor"/>
    </font>
    <font>
      <b/>
      <sz val="16"/>
      <color rgb="FFFF0000"/>
      <name val="Verdana Pro Cond Light"/>
      <family val="2"/>
      <scheme val="minor"/>
    </font>
    <font>
      <b/>
      <sz val="12"/>
      <color theme="1"/>
      <name val="Verdana"/>
      <family val="2"/>
    </font>
    <font>
      <sz val="16"/>
      <color theme="0"/>
      <name val="Verdana Pro Cond"/>
      <family val="2"/>
      <scheme val="major"/>
    </font>
    <font>
      <b/>
      <i/>
      <u/>
      <sz val="10"/>
      <color theme="1"/>
      <name val="Verdana"/>
      <family val="2"/>
    </font>
    <font>
      <sz val="9"/>
      <color theme="1"/>
      <name val="Verdana"/>
      <family val="2"/>
    </font>
    <font>
      <b/>
      <sz val="11"/>
      <color rgb="FFFF0000"/>
      <name val="Verdana Pro Cond Light"/>
      <family val="2"/>
      <scheme val="minor"/>
    </font>
    <font>
      <sz val="16"/>
      <color theme="1"/>
      <name val="Verdana Pro Cond Light"/>
      <family val="2"/>
      <scheme val="minor"/>
    </font>
    <font>
      <sz val="14"/>
      <color theme="1"/>
      <name val="Verdana Pro Cond Light"/>
      <family val="2"/>
      <scheme val="minor"/>
    </font>
    <font>
      <b/>
      <sz val="14"/>
      <color rgb="FFFF0000"/>
      <name val="Verdana Pro Cond Light"/>
      <family val="2"/>
      <scheme val="minor"/>
    </font>
    <font>
      <b/>
      <sz val="12"/>
      <color theme="1"/>
      <name val="Verdana Pro Cond Light"/>
      <family val="2"/>
      <scheme val="minor"/>
    </font>
    <font>
      <vertAlign val="superscript"/>
      <sz val="10"/>
      <color theme="1"/>
      <name val="Verdana"/>
      <family val="2"/>
    </font>
    <font>
      <b/>
      <i/>
      <sz val="10"/>
      <name val="Verdana"/>
      <family val="2"/>
    </font>
    <font>
      <i/>
      <sz val="10"/>
      <color theme="1" tint="0.34998626667073579"/>
      <name val="Verdana"/>
      <family val="2"/>
    </font>
    <font>
      <sz val="11"/>
      <color theme="6"/>
      <name val="Verdana Pro Cond Light"/>
      <family val="2"/>
      <scheme val="minor"/>
    </font>
    <font>
      <sz val="10"/>
      <color theme="6"/>
      <name val="Verdana"/>
      <family val="2"/>
    </font>
    <font>
      <sz val="11"/>
      <color theme="6"/>
      <name val="Verdana Pro Cond"/>
      <family val="2"/>
      <scheme val="major"/>
    </font>
    <font>
      <sz val="12"/>
      <color theme="6"/>
      <name val="Verdana Pro Cond Light"/>
      <family val="2"/>
      <scheme val="minor"/>
    </font>
    <font>
      <b/>
      <sz val="10"/>
      <color theme="0"/>
      <name val="Verdana"/>
      <family val="2"/>
    </font>
    <font>
      <i/>
      <sz val="10"/>
      <color theme="1"/>
      <name val="Verdana"/>
      <family val="2"/>
    </font>
    <font>
      <b/>
      <sz val="9"/>
      <name val="Verdana"/>
      <family val="2"/>
    </font>
    <font>
      <b/>
      <sz val="8"/>
      <color theme="1"/>
      <name val="Verdana"/>
      <family val="2"/>
    </font>
    <font>
      <b/>
      <i/>
      <sz val="10"/>
      <color theme="1"/>
      <name val="Verdana"/>
      <family val="2"/>
    </font>
    <font>
      <sz val="9"/>
      <name val="Verdana"/>
      <family val="2"/>
    </font>
    <font>
      <b/>
      <sz val="9"/>
      <color theme="1"/>
      <name val="Verdana"/>
      <family val="2"/>
    </font>
    <font>
      <i/>
      <sz val="12"/>
      <color theme="1"/>
      <name val="Verdana"/>
      <family val="2"/>
    </font>
    <font>
      <b/>
      <i/>
      <sz val="12"/>
      <color theme="1"/>
      <name val="Verdana"/>
      <family val="2"/>
    </font>
    <font>
      <sz val="10"/>
      <color theme="1"/>
      <name val="Verdana Pro Cond Light"/>
      <family val="2"/>
      <scheme val="minor"/>
    </font>
    <font>
      <sz val="11"/>
      <color theme="5"/>
      <name val="Verdana Pro Cond Light"/>
      <family val="2"/>
      <scheme val="minor"/>
    </font>
    <font>
      <sz val="10"/>
      <color rgb="FFFF0000"/>
      <name val="Verdana Pro Cond Light"/>
      <family val="2"/>
      <scheme val="minor"/>
    </font>
    <font>
      <sz val="10"/>
      <name val="Verdana Pro Cond Light"/>
      <family val="2"/>
      <scheme val="minor"/>
    </font>
    <font>
      <b/>
      <i/>
      <sz val="12"/>
      <color rgb="FF202124"/>
      <name val="Inherit"/>
    </font>
    <font>
      <b/>
      <i/>
      <sz val="12"/>
      <color rgb="FF000000"/>
      <name val="Verdana"/>
      <family val="2"/>
    </font>
    <font>
      <sz val="11"/>
      <color rgb="FF202124"/>
      <name val="Inherit"/>
    </font>
    <font>
      <u/>
      <sz val="11"/>
      <color rgb="FF202124"/>
      <name val="Inherit"/>
    </font>
    <font>
      <u/>
      <sz val="10"/>
      <color theme="1"/>
      <name val="Verdana"/>
      <family val="2"/>
    </font>
    <font>
      <sz val="10"/>
      <color theme="1"/>
      <name val="Arial Unicode MS"/>
      <family val="2"/>
    </font>
    <font>
      <sz val="11"/>
      <color rgb="FFFF0000"/>
      <name val="Verdana Pro Cond Light"/>
      <family val="2"/>
      <scheme val="minor"/>
    </font>
    <font>
      <b/>
      <sz val="10"/>
      <color theme="0"/>
      <name val="Verdana Pro Cond Light"/>
      <family val="2"/>
      <scheme val="minor"/>
    </font>
  </fonts>
  <fills count="29">
    <fill>
      <patternFill patternType="none"/>
    </fill>
    <fill>
      <patternFill patternType="gray125"/>
    </fill>
    <fill>
      <patternFill patternType="solid">
        <fgColor theme="0" tint="-0.14999847407452621"/>
        <bgColor indexed="64"/>
      </patternFill>
    </fill>
    <fill>
      <patternFill patternType="solid">
        <fgColor rgb="FFFFFF00"/>
        <bgColor indexed="64"/>
      </patternFill>
    </fill>
    <fill>
      <patternFill patternType="solid">
        <fgColor theme="6" tint="0.79998168889431442"/>
        <bgColor indexed="64"/>
      </patternFill>
    </fill>
    <fill>
      <patternFill patternType="solid">
        <fgColor theme="0"/>
        <bgColor indexed="64"/>
      </patternFill>
    </fill>
    <fill>
      <patternFill patternType="solid">
        <fgColor indexed="65"/>
        <bgColor theme="0"/>
      </patternFill>
    </fill>
    <fill>
      <patternFill patternType="solid">
        <fgColor theme="2" tint="-9.9978637043366805E-2"/>
        <bgColor indexed="64"/>
      </patternFill>
    </fill>
    <fill>
      <patternFill patternType="solid">
        <fgColor theme="0" tint="-4.9989318521683403E-2"/>
        <bgColor indexed="64"/>
      </patternFill>
    </fill>
    <fill>
      <patternFill patternType="solid">
        <fgColor rgb="FFDE243D"/>
        <bgColor indexed="64"/>
      </patternFill>
    </fill>
    <fill>
      <patternFill patternType="solid">
        <fgColor theme="1"/>
        <bgColor indexed="64"/>
      </patternFill>
    </fill>
    <fill>
      <patternFill patternType="solid">
        <fgColor rgb="FFEF99A5"/>
        <bgColor indexed="64"/>
      </patternFill>
    </fill>
    <fill>
      <patternFill patternType="solid">
        <fgColor rgb="FF00B050"/>
        <bgColor indexed="64"/>
      </patternFill>
    </fill>
    <fill>
      <patternFill patternType="solid">
        <fgColor theme="0" tint="-0.499984740745262"/>
        <bgColor indexed="64"/>
      </patternFill>
    </fill>
    <fill>
      <patternFill patternType="solid">
        <fgColor rgb="FFE7EEF5"/>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theme="2" tint="-0.249977111117893"/>
        <bgColor indexed="64"/>
      </patternFill>
    </fill>
    <fill>
      <patternFill patternType="solid">
        <fgColor theme="7" tint="0.79998168889431442"/>
        <bgColor indexed="64"/>
      </patternFill>
    </fill>
    <fill>
      <patternFill patternType="solid">
        <fgColor theme="2"/>
        <bgColor indexed="64"/>
      </patternFill>
    </fill>
    <fill>
      <patternFill patternType="solid">
        <fgColor theme="9" tint="-0.249977111117893"/>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4" tint="0.59999389629810485"/>
        <bgColor indexed="64"/>
      </patternFill>
    </fill>
    <fill>
      <patternFill patternType="solid">
        <fgColor theme="5"/>
        <bgColor indexed="64"/>
      </patternFill>
    </fill>
    <fill>
      <patternFill patternType="solid">
        <fgColor rgb="FFFFC000"/>
        <bgColor indexed="64"/>
      </patternFill>
    </fill>
    <fill>
      <patternFill patternType="solid">
        <fgColor rgb="FFF8F9FA"/>
        <bgColor indexed="64"/>
      </patternFill>
    </fill>
    <fill>
      <patternFill patternType="solid">
        <fgColor theme="1" tint="0.499984740745262"/>
        <bgColor indexed="64"/>
      </patternFill>
    </fill>
    <fill>
      <patternFill patternType="solid">
        <fgColor rgb="FFFFFFFF"/>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auto="1"/>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right style="thin">
        <color indexed="64"/>
      </right>
      <top/>
      <bottom/>
      <diagonal/>
    </border>
    <border>
      <left style="medium">
        <color indexed="64"/>
      </left>
      <right style="medium">
        <color indexed="64"/>
      </right>
      <top style="medium">
        <color indexed="64"/>
      </top>
      <bottom/>
      <diagonal/>
    </border>
    <border>
      <left/>
      <right style="thin">
        <color indexed="64"/>
      </right>
      <top/>
      <bottom style="thin">
        <color indexed="64"/>
      </bottom>
      <diagonal/>
    </border>
    <border>
      <left/>
      <right style="thin">
        <color indexed="64"/>
      </right>
      <top style="thin">
        <color indexed="64"/>
      </top>
      <bottom/>
      <diagonal/>
    </border>
    <border>
      <left style="medium">
        <color theme="4" tint="0.39994506668294322"/>
      </left>
      <right/>
      <top style="medium">
        <color theme="4" tint="0.39994506668294322"/>
      </top>
      <bottom style="thin">
        <color theme="4" tint="0.39994506668294322"/>
      </bottom>
      <diagonal/>
    </border>
    <border>
      <left/>
      <right/>
      <top style="medium">
        <color theme="4" tint="0.39994506668294322"/>
      </top>
      <bottom style="thin">
        <color theme="4" tint="0.39994506668294322"/>
      </bottom>
      <diagonal/>
    </border>
    <border>
      <left/>
      <right style="thin">
        <color theme="4" tint="0.39994506668294322"/>
      </right>
      <top style="medium">
        <color theme="4" tint="0.39994506668294322"/>
      </top>
      <bottom style="thin">
        <color theme="4" tint="0.39994506668294322"/>
      </bottom>
      <diagonal/>
    </border>
    <border>
      <left style="medium">
        <color theme="4" tint="0.39994506668294322"/>
      </left>
      <right style="thin">
        <color theme="4" tint="0.39994506668294322"/>
      </right>
      <top style="medium">
        <color theme="4" tint="0.39994506668294322"/>
      </top>
      <bottom style="thin">
        <color theme="4" tint="0.39994506668294322"/>
      </bottom>
      <diagonal/>
    </border>
    <border>
      <left style="thin">
        <color theme="4" tint="0.39994506668294322"/>
      </left>
      <right/>
      <top/>
      <bottom/>
      <diagonal/>
    </border>
    <border>
      <left style="medium">
        <color theme="4" tint="0.39997558519241921"/>
      </left>
      <right/>
      <top style="medium">
        <color theme="4" tint="0.39997558519241921"/>
      </top>
      <bottom style="medium">
        <color theme="4" tint="0.39997558519241921"/>
      </bottom>
      <diagonal/>
    </border>
    <border>
      <left style="medium">
        <color theme="4" tint="0.39994506668294322"/>
      </left>
      <right style="medium">
        <color theme="4" tint="0.39997558519241921"/>
      </right>
      <top style="medium">
        <color theme="4" tint="0.39997558519241921"/>
      </top>
      <bottom style="medium">
        <color theme="4" tint="0.39997558519241921"/>
      </bottom>
      <diagonal/>
    </border>
    <border>
      <left style="medium">
        <color indexed="64"/>
      </left>
      <right style="medium">
        <color indexed="64"/>
      </right>
      <top/>
      <bottom style="medium">
        <color indexed="64"/>
      </bottom>
      <diagonal/>
    </border>
    <border>
      <left style="thin">
        <color indexed="64"/>
      </left>
      <right/>
      <top style="medium">
        <color indexed="64"/>
      </top>
      <bottom style="thin">
        <color indexed="64"/>
      </bottom>
      <diagonal/>
    </border>
    <border>
      <left style="thin">
        <color indexed="64"/>
      </left>
      <right/>
      <top style="thin">
        <color indexed="64"/>
      </top>
      <bottom style="medium">
        <color theme="4" tint="0.39997558519241921"/>
      </bottom>
      <diagonal/>
    </border>
    <border>
      <left style="medium">
        <color theme="4" tint="0.39997558519241921"/>
      </left>
      <right style="thin">
        <color theme="4" tint="0.39994506668294322"/>
      </right>
      <top style="medium">
        <color theme="4" tint="0.39997558519241921"/>
      </top>
      <bottom style="thin">
        <color theme="4" tint="0.39994506668294322"/>
      </bottom>
      <diagonal/>
    </border>
    <border>
      <left style="medium">
        <color theme="4" tint="0.39994506668294322"/>
      </left>
      <right style="medium">
        <color theme="4" tint="0.39997558519241921"/>
      </right>
      <top style="medium">
        <color theme="4" tint="0.39997558519241921"/>
      </top>
      <bottom style="thin">
        <color theme="4" tint="0.39994506668294322"/>
      </bottom>
      <diagonal/>
    </border>
    <border>
      <left style="medium">
        <color theme="4" tint="0.39997558519241921"/>
      </left>
      <right style="medium">
        <color theme="4" tint="0.39997558519241921"/>
      </right>
      <top style="medium">
        <color theme="4" tint="0.39997558519241921"/>
      </top>
      <bottom/>
      <diagonal/>
    </border>
    <border>
      <left/>
      <right style="medium">
        <color indexed="64"/>
      </right>
      <top style="medium">
        <color indexed="64"/>
      </top>
      <bottom/>
      <diagonal/>
    </border>
    <border>
      <left style="medium">
        <color theme="4" tint="0.39997558519241921"/>
      </left>
      <right style="medium">
        <color theme="4" tint="0.39997558519241921"/>
      </right>
      <top style="medium">
        <color theme="4" tint="0.39997558519241921"/>
      </top>
      <bottom style="medium">
        <color theme="4" tint="0.39997558519241921"/>
      </bottom>
      <diagonal/>
    </border>
    <border>
      <left style="medium">
        <color indexed="64"/>
      </left>
      <right style="medium">
        <color indexed="64"/>
      </right>
      <top/>
      <bottom/>
      <diagonal/>
    </border>
    <border>
      <left/>
      <right style="medium">
        <color indexed="64"/>
      </right>
      <top/>
      <bottom/>
      <diagonal/>
    </border>
    <border>
      <left style="medium">
        <color theme="4" tint="0.39997558519241921"/>
      </left>
      <right style="medium">
        <color theme="4" tint="0.39997558519241921"/>
      </right>
      <top/>
      <bottom/>
      <diagonal/>
    </border>
    <border>
      <left style="medium">
        <color theme="4" tint="0.39997558519241921"/>
      </left>
      <right style="medium">
        <color theme="4" tint="0.39997558519241921"/>
      </right>
      <top/>
      <bottom style="medium">
        <color theme="4" tint="0.39997558519241921"/>
      </bottom>
      <diagonal/>
    </border>
    <border>
      <left/>
      <right style="medium">
        <color indexed="64"/>
      </right>
      <top/>
      <bottom style="medium">
        <color indexed="64"/>
      </bottom>
      <diagonal/>
    </border>
    <border>
      <left/>
      <right style="thin">
        <color indexed="64"/>
      </right>
      <top style="thin">
        <color indexed="64"/>
      </top>
      <bottom style="medium">
        <color theme="4" tint="0.39997558519241921"/>
      </bottom>
      <diagonal/>
    </border>
    <border>
      <left/>
      <right style="medium">
        <color theme="4" tint="0.39997558519241921"/>
      </right>
      <top style="medium">
        <color theme="4" tint="0.39997558519241921"/>
      </top>
      <bottom style="medium">
        <color theme="4" tint="0.39997558519241921"/>
      </bottom>
      <diagonal/>
    </border>
    <border>
      <left style="thin">
        <color theme="4" tint="0.39997558519241921"/>
      </left>
      <right style="thin">
        <color theme="4" tint="0.39997558519241921"/>
      </right>
      <top style="thin">
        <color theme="4" tint="0.39997558519241921"/>
      </top>
      <bottom style="thin">
        <color theme="4" tint="0.39997558519241921"/>
      </bottom>
      <diagonal/>
    </border>
    <border>
      <left/>
      <right/>
      <top style="medium">
        <color indexed="64"/>
      </top>
      <bottom/>
      <diagonal/>
    </border>
    <border>
      <left style="medium">
        <color indexed="64"/>
      </left>
      <right style="thin">
        <color indexed="64"/>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style="thin">
        <color indexed="64"/>
      </top>
      <bottom style="thin">
        <color indexed="64"/>
      </bottom>
      <diagonal/>
    </border>
    <border>
      <left style="thin">
        <color indexed="64"/>
      </left>
      <right/>
      <top/>
      <bottom style="medium">
        <color theme="4" tint="0.39997558519241921"/>
      </bottom>
      <diagonal/>
    </border>
    <border>
      <left/>
      <right style="thin">
        <color indexed="64"/>
      </right>
      <top/>
      <bottom style="medium">
        <color theme="4" tint="0.39997558519241921"/>
      </bottom>
      <diagonal/>
    </border>
    <border>
      <left style="medium">
        <color theme="4" tint="0.39994506668294322"/>
      </left>
      <right/>
      <top style="medium">
        <color theme="4" tint="0.39997558519241921"/>
      </top>
      <bottom style="medium">
        <color theme="4" tint="0.39997558519241921"/>
      </bottom>
      <diagonal/>
    </border>
    <border>
      <left style="thin">
        <color indexed="64"/>
      </left>
      <right style="thin">
        <color indexed="64"/>
      </right>
      <top/>
      <bottom/>
      <diagonal/>
    </border>
  </borders>
  <cellStyleXfs count="14">
    <xf numFmtId="0" fontId="0" fillId="0" borderId="0"/>
    <xf numFmtId="0" fontId="3" fillId="0" borderId="0"/>
    <xf numFmtId="0" fontId="1" fillId="0" borderId="0"/>
    <xf numFmtId="0" fontId="3" fillId="0" borderId="0"/>
    <xf numFmtId="0" fontId="1" fillId="0" borderId="0"/>
    <xf numFmtId="0" fontId="6" fillId="0" borderId="0"/>
    <xf numFmtId="0" fontId="3" fillId="0" borderId="0"/>
    <xf numFmtId="44" fontId="3" fillId="0" borderId="0" applyFont="0" applyFill="0" applyBorder="0" applyAlignment="0" applyProtection="0"/>
    <xf numFmtId="44" fontId="1" fillId="0" borderId="0" applyFont="0" applyFill="0" applyBorder="0" applyAlignment="0" applyProtection="0"/>
    <xf numFmtId="0" fontId="3" fillId="0" borderId="0"/>
    <xf numFmtId="9" fontId="3" fillId="0" borderId="0" applyFont="0" applyFill="0" applyBorder="0" applyAlignment="0" applyProtection="0"/>
    <xf numFmtId="43" fontId="1" fillId="0" borderId="0" applyFont="0" applyFill="0" applyBorder="0" applyAlignment="0" applyProtection="0"/>
    <xf numFmtId="0" fontId="1" fillId="0" borderId="0"/>
    <xf numFmtId="44" fontId="1" fillId="0" borderId="0" applyFont="0" applyFill="0" applyBorder="0" applyAlignment="0" applyProtection="0"/>
  </cellStyleXfs>
  <cellXfs count="685">
    <xf numFmtId="0" fontId="0" fillId="0" borderId="0" xfId="0"/>
    <xf numFmtId="0" fontId="0" fillId="2" borderId="0" xfId="1" applyFont="1" applyFill="1"/>
    <xf numFmtId="0" fontId="0" fillId="3" borderId="0" xfId="0" applyFill="1"/>
    <xf numFmtId="0" fontId="0" fillId="0" borderId="0" xfId="1" applyFont="1"/>
    <xf numFmtId="0" fontId="4" fillId="4" borderId="0" xfId="2" applyFont="1" applyFill="1"/>
    <xf numFmtId="0" fontId="3" fillId="4" borderId="0" xfId="3" applyFill="1"/>
    <xf numFmtId="0" fontId="3" fillId="0" borderId="0" xfId="3"/>
    <xf numFmtId="165" fontId="3" fillId="0" borderId="0" xfId="1" applyNumberFormat="1"/>
    <xf numFmtId="0" fontId="1" fillId="0" borderId="0" xfId="2"/>
    <xf numFmtId="0" fontId="1" fillId="6" borderId="0" xfId="2" applyFill="1" applyProtection="1">
      <protection hidden="1"/>
    </xf>
    <xf numFmtId="0" fontId="3" fillId="0" borderId="0" xfId="1"/>
    <xf numFmtId="0" fontId="1" fillId="7" borderId="0" xfId="4" applyFill="1"/>
    <xf numFmtId="0" fontId="1" fillId="0" borderId="0" xfId="4"/>
    <xf numFmtId="0" fontId="3" fillId="0" borderId="0" xfId="9"/>
    <xf numFmtId="0" fontId="0" fillId="0" borderId="1" xfId="0" applyBorder="1"/>
    <xf numFmtId="0" fontId="0" fillId="0" borderId="0" xfId="0" applyAlignment="1">
      <alignment horizontal="center" vertical="center"/>
    </xf>
    <xf numFmtId="0" fontId="0" fillId="0" borderId="0" xfId="0" applyAlignment="1">
      <alignment horizontal="right"/>
    </xf>
    <xf numFmtId="0" fontId="7" fillId="5" borderId="0" xfId="0" applyFont="1" applyFill="1"/>
    <xf numFmtId="0" fontId="8" fillId="5" borderId="0" xfId="3" quotePrefix="1" applyFont="1" applyFill="1" applyAlignment="1" applyProtection="1">
      <alignment horizontal="center" vertical="center" shrinkToFit="1"/>
      <protection hidden="1"/>
    </xf>
    <xf numFmtId="167" fontId="3" fillId="5" borderId="0" xfId="3" applyNumberFormat="1" applyFill="1" applyAlignment="1" applyProtection="1">
      <alignment horizontal="center" vertical="center"/>
      <protection hidden="1"/>
    </xf>
    <xf numFmtId="0" fontId="3" fillId="0" borderId="1" xfId="3" applyBorder="1" applyAlignment="1" applyProtection="1">
      <alignment horizontal="center"/>
      <protection hidden="1"/>
    </xf>
    <xf numFmtId="0" fontId="3" fillId="5" borderId="0" xfId="3" applyFill="1" applyProtection="1">
      <protection hidden="1"/>
    </xf>
    <xf numFmtId="0" fontId="3" fillId="0" borderId="0" xfId="3" applyProtection="1">
      <protection hidden="1"/>
    </xf>
    <xf numFmtId="0" fontId="3" fillId="5" borderId="1" xfId="3" applyFill="1" applyBorder="1" applyAlignment="1" applyProtection="1">
      <alignment horizontal="center"/>
      <protection hidden="1"/>
    </xf>
    <xf numFmtId="0" fontId="3" fillId="5" borderId="1" xfId="3" applyFill="1" applyBorder="1" applyAlignment="1" applyProtection="1">
      <alignment horizontal="center" vertical="center"/>
      <protection hidden="1"/>
    </xf>
    <xf numFmtId="0" fontId="8" fillId="8" borderId="1" xfId="3" quotePrefix="1" applyFont="1" applyFill="1" applyBorder="1" applyAlignment="1" applyProtection="1">
      <alignment vertical="center"/>
      <protection hidden="1"/>
    </xf>
    <xf numFmtId="0" fontId="19" fillId="0" borderId="0" xfId="0" applyFont="1"/>
    <xf numFmtId="0" fontId="0" fillId="0" borderId="0" xfId="0" quotePrefix="1"/>
    <xf numFmtId="0" fontId="21" fillId="5" borderId="0" xfId="3" quotePrefix="1" applyFont="1" applyFill="1" applyAlignment="1" applyProtection="1">
      <alignment horizontal="center" vertical="center" shrinkToFit="1"/>
      <protection hidden="1"/>
    </xf>
    <xf numFmtId="169" fontId="0" fillId="0" borderId="0" xfId="0" applyNumberFormat="1"/>
    <xf numFmtId="170" fontId="0" fillId="0" borderId="0" xfId="0" applyNumberFormat="1"/>
    <xf numFmtId="170" fontId="0" fillId="0" borderId="1" xfId="0" applyNumberFormat="1" applyBorder="1"/>
    <xf numFmtId="0" fontId="0" fillId="0" borderId="1" xfId="0" applyBorder="1" applyAlignment="1">
      <alignment horizontal="center"/>
    </xf>
    <xf numFmtId="0" fontId="19" fillId="0" borderId="1" xfId="0" applyFont="1" applyBorder="1" applyAlignment="1">
      <alignment horizontal="center"/>
    </xf>
    <xf numFmtId="0" fontId="19" fillId="0" borderId="1" xfId="0" applyFont="1" applyBorder="1" applyAlignment="1">
      <alignment horizontal="center" vertical="center"/>
    </xf>
    <xf numFmtId="0" fontId="0" fillId="0" borderId="1" xfId="0" applyBorder="1" applyAlignment="1">
      <alignment horizontal="center" vertical="center"/>
    </xf>
    <xf numFmtId="0" fontId="3" fillId="5" borderId="4" xfId="3" applyFill="1" applyBorder="1" applyAlignment="1" applyProtection="1">
      <alignment horizontal="center"/>
      <protection hidden="1"/>
    </xf>
    <xf numFmtId="0" fontId="0" fillId="0" borderId="0" xfId="0" applyAlignment="1">
      <alignment horizontal="center"/>
    </xf>
    <xf numFmtId="0" fontId="7" fillId="10" borderId="0" xfId="9" applyFont="1" applyFill="1" applyProtection="1">
      <protection hidden="1"/>
    </xf>
    <xf numFmtId="0" fontId="3" fillId="10" borderId="0" xfId="9" applyFill="1" applyProtection="1">
      <protection hidden="1"/>
    </xf>
    <xf numFmtId="0" fontId="3" fillId="13" borderId="0" xfId="3" applyFill="1" applyProtection="1">
      <protection hidden="1"/>
    </xf>
    <xf numFmtId="0" fontId="24" fillId="13" borderId="0" xfId="3" applyFont="1" applyFill="1" applyProtection="1">
      <protection hidden="1"/>
    </xf>
    <xf numFmtId="0" fontId="25" fillId="13" borderId="0" xfId="3" applyFont="1" applyFill="1" applyProtection="1">
      <protection hidden="1"/>
    </xf>
    <xf numFmtId="0" fontId="3" fillId="13" borderId="0" xfId="3" applyFill="1" applyAlignment="1" applyProtection="1">
      <alignment vertical="center"/>
      <protection hidden="1"/>
    </xf>
    <xf numFmtId="0" fontId="26" fillId="10" borderId="0" xfId="9" applyFont="1" applyFill="1" applyProtection="1">
      <protection hidden="1"/>
    </xf>
    <xf numFmtId="0" fontId="26" fillId="10" borderId="0" xfId="9" applyFont="1" applyFill="1" applyAlignment="1" applyProtection="1">
      <alignment horizontal="right"/>
      <protection hidden="1"/>
    </xf>
    <xf numFmtId="0" fontId="3" fillId="13" borderId="1" xfId="3" applyFill="1" applyBorder="1" applyProtection="1">
      <protection hidden="1"/>
    </xf>
    <xf numFmtId="0" fontId="3" fillId="13" borderId="6" xfId="3" applyFill="1" applyBorder="1" applyProtection="1">
      <protection hidden="1"/>
    </xf>
    <xf numFmtId="49" fontId="3" fillId="13" borderId="1" xfId="3" applyNumberFormat="1" applyFill="1" applyBorder="1" applyAlignment="1" applyProtection="1">
      <alignment horizontal="center"/>
      <protection hidden="1"/>
    </xf>
    <xf numFmtId="0" fontId="27" fillId="7" borderId="0" xfId="9" applyFont="1" applyFill="1" applyProtection="1">
      <protection hidden="1"/>
    </xf>
    <xf numFmtId="0" fontId="3" fillId="13" borderId="1" xfId="3" quotePrefix="1" applyFill="1" applyBorder="1" applyAlignment="1" applyProtection="1">
      <alignment horizontal="left"/>
      <protection hidden="1"/>
    </xf>
    <xf numFmtId="0" fontId="1" fillId="13" borderId="1" xfId="12" applyFill="1" applyBorder="1"/>
    <xf numFmtId="0" fontId="1" fillId="13" borderId="6" xfId="12" applyFill="1" applyBorder="1"/>
    <xf numFmtId="0" fontId="1" fillId="13" borderId="0" xfId="12" applyFill="1"/>
    <xf numFmtId="0" fontId="3" fillId="13" borderId="1" xfId="9" applyFill="1" applyBorder="1" applyAlignment="1">
      <alignment horizontal="center" vertical="center"/>
    </xf>
    <xf numFmtId="0" fontId="3" fillId="13" borderId="1" xfId="3" applyFill="1" applyBorder="1" applyAlignment="1" applyProtection="1">
      <alignment horizontal="left"/>
      <protection hidden="1"/>
    </xf>
    <xf numFmtId="49" fontId="1" fillId="13" borderId="1" xfId="12" applyNumberFormat="1" applyFill="1" applyBorder="1" applyAlignment="1">
      <alignment horizontal="center"/>
    </xf>
    <xf numFmtId="0" fontId="0" fillId="13" borderId="1" xfId="3" applyFont="1" applyFill="1" applyBorder="1" applyProtection="1">
      <protection hidden="1"/>
    </xf>
    <xf numFmtId="0" fontId="0" fillId="13" borderId="0" xfId="3" applyFont="1" applyFill="1" applyProtection="1">
      <protection hidden="1"/>
    </xf>
    <xf numFmtId="0" fontId="27" fillId="0" borderId="0" xfId="9" applyFont="1" applyProtection="1">
      <protection hidden="1"/>
    </xf>
    <xf numFmtId="0" fontId="27" fillId="0" borderId="0" xfId="9" applyFont="1" applyAlignment="1" applyProtection="1">
      <alignment vertical="center"/>
      <protection hidden="1"/>
    </xf>
    <xf numFmtId="0" fontId="1" fillId="5" borderId="0" xfId="3" applyFont="1" applyFill="1" applyProtection="1">
      <protection hidden="1"/>
    </xf>
    <xf numFmtId="0" fontId="1" fillId="0" borderId="0" xfId="12" applyAlignment="1">
      <alignment vertical="center"/>
    </xf>
    <xf numFmtId="0" fontId="1" fillId="0" borderId="0" xfId="3" applyFont="1" applyAlignment="1" applyProtection="1">
      <alignment vertical="center"/>
      <protection hidden="1"/>
    </xf>
    <xf numFmtId="14" fontId="1" fillId="0" borderId="0" xfId="3" quotePrefix="1" applyNumberFormat="1" applyFont="1" applyAlignment="1" applyProtection="1">
      <alignment vertical="center"/>
      <protection hidden="1"/>
    </xf>
    <xf numFmtId="0" fontId="3" fillId="0" borderId="0" xfId="3" applyAlignment="1" applyProtection="1">
      <alignment vertical="center"/>
      <protection hidden="1"/>
    </xf>
    <xf numFmtId="0" fontId="1" fillId="0" borderId="0" xfId="3" applyFont="1" applyProtection="1">
      <protection hidden="1"/>
    </xf>
    <xf numFmtId="0" fontId="12" fillId="13" borderId="0" xfId="3" applyFont="1" applyFill="1" applyAlignment="1" applyProtection="1">
      <alignment vertical="center"/>
      <protection hidden="1"/>
    </xf>
    <xf numFmtId="173" fontId="3" fillId="13" borderId="1" xfId="3" applyNumberFormat="1" applyFill="1" applyBorder="1" applyProtection="1">
      <protection hidden="1"/>
    </xf>
    <xf numFmtId="0" fontId="1" fillId="3" borderId="1" xfId="12" applyFill="1" applyBorder="1"/>
    <xf numFmtId="49" fontId="1" fillId="3" borderId="1" xfId="12" applyNumberFormat="1" applyFill="1" applyBorder="1" applyAlignment="1">
      <alignment horizontal="center"/>
    </xf>
    <xf numFmtId="0" fontId="1" fillId="0" borderId="0" xfId="12" applyAlignment="1" applyProtection="1">
      <alignment vertical="center" shrinkToFit="1"/>
      <protection hidden="1"/>
    </xf>
    <xf numFmtId="1" fontId="7" fillId="14" borderId="29" xfId="9" applyNumberFormat="1" applyFont="1" applyFill="1" applyBorder="1" applyAlignment="1" applyProtection="1">
      <alignment horizontal="center" vertical="center"/>
      <protection hidden="1"/>
    </xf>
    <xf numFmtId="0" fontId="3" fillId="0" borderId="0" xfId="9" applyAlignment="1">
      <alignment horizontal="center" vertical="center"/>
    </xf>
    <xf numFmtId="0" fontId="29" fillId="0" borderId="0" xfId="3" applyFont="1" applyAlignment="1" applyProtection="1">
      <alignment horizontal="center" vertical="center" shrinkToFit="1"/>
      <protection hidden="1"/>
    </xf>
    <xf numFmtId="0" fontId="1" fillId="0" borderId="0" xfId="3" applyFont="1" applyAlignment="1" applyProtection="1">
      <alignment horizontal="left" vertical="center" shrinkToFit="1"/>
      <protection hidden="1"/>
    </xf>
    <xf numFmtId="0" fontId="20" fillId="0" borderId="0" xfId="9" applyFont="1" applyAlignment="1">
      <alignment horizontal="right"/>
    </xf>
    <xf numFmtId="1" fontId="7" fillId="14" borderId="29" xfId="9" applyNumberFormat="1" applyFont="1" applyFill="1" applyBorder="1" applyAlignment="1" applyProtection="1">
      <alignment horizontal="center" vertical="center"/>
      <protection locked="0" hidden="1"/>
    </xf>
    <xf numFmtId="0" fontId="2" fillId="5" borderId="0" xfId="12" applyFont="1" applyFill="1" applyAlignment="1">
      <alignment vertical="center"/>
    </xf>
    <xf numFmtId="0" fontId="1" fillId="5" borderId="0" xfId="12" applyFill="1" applyAlignment="1">
      <alignment vertical="center"/>
    </xf>
    <xf numFmtId="174" fontId="7" fillId="0" borderId="29" xfId="9" applyNumberFormat="1" applyFont="1" applyBorder="1" applyAlignment="1" applyProtection="1">
      <alignment horizontal="center" vertical="center"/>
      <protection hidden="1"/>
    </xf>
    <xf numFmtId="174" fontId="7" fillId="0" borderId="0" xfId="9" applyNumberFormat="1" applyFont="1" applyAlignment="1" applyProtection="1">
      <alignment horizontal="left" vertical="center"/>
      <protection hidden="1"/>
    </xf>
    <xf numFmtId="0" fontId="31" fillId="0" borderId="0" xfId="3" applyFont="1" applyAlignment="1" applyProtection="1">
      <alignment vertical="center"/>
      <protection hidden="1"/>
    </xf>
    <xf numFmtId="0" fontId="3" fillId="5" borderId="0" xfId="3" applyFill="1" applyAlignment="1" applyProtection="1">
      <alignment vertical="center"/>
      <protection hidden="1"/>
    </xf>
    <xf numFmtId="0" fontId="1" fillId="0" borderId="7" xfId="3" applyFont="1" applyBorder="1" applyAlignment="1" applyProtection="1">
      <alignment horizontal="center" vertical="center"/>
      <protection hidden="1"/>
    </xf>
    <xf numFmtId="0" fontId="2" fillId="0" borderId="0" xfId="3" applyFont="1" applyAlignment="1" applyProtection="1">
      <alignment horizontal="left" vertical="center"/>
      <protection hidden="1"/>
    </xf>
    <xf numFmtId="0" fontId="2" fillId="0" borderId="0" xfId="3" applyFont="1" applyAlignment="1" applyProtection="1">
      <alignment vertical="center"/>
      <protection hidden="1"/>
    </xf>
    <xf numFmtId="168" fontId="1" fillId="0" borderId="0" xfId="3" applyNumberFormat="1" applyFont="1" applyAlignment="1" applyProtection="1">
      <alignment horizontal="center" vertical="center"/>
      <protection hidden="1"/>
    </xf>
    <xf numFmtId="0" fontId="1" fillId="0" borderId="0" xfId="12"/>
    <xf numFmtId="0" fontId="18" fillId="5" borderId="0" xfId="3" applyFont="1" applyFill="1" applyAlignment="1" applyProtection="1">
      <alignment vertical="center" shrinkToFit="1"/>
      <protection hidden="1"/>
    </xf>
    <xf numFmtId="0" fontId="1" fillId="5" borderId="0" xfId="3" applyFont="1" applyFill="1" applyAlignment="1" applyProtection="1">
      <alignment vertical="center" shrinkToFit="1"/>
      <protection hidden="1"/>
    </xf>
    <xf numFmtId="0" fontId="33" fillId="5" borderId="0" xfId="3" applyFont="1" applyFill="1" applyAlignment="1" applyProtection="1">
      <alignment vertical="center" shrinkToFit="1"/>
      <protection hidden="1"/>
    </xf>
    <xf numFmtId="0" fontId="33" fillId="0" borderId="0" xfId="3" applyFont="1" applyAlignment="1" applyProtection="1">
      <alignment vertical="center" shrinkToFit="1"/>
      <protection hidden="1"/>
    </xf>
    <xf numFmtId="0" fontId="3" fillId="0" borderId="0" xfId="3" applyAlignment="1" applyProtection="1">
      <alignment horizontal="center"/>
      <protection hidden="1"/>
    </xf>
    <xf numFmtId="0" fontId="34" fillId="0" borderId="0" xfId="12" applyFont="1" applyAlignment="1">
      <alignment vertical="center"/>
    </xf>
    <xf numFmtId="0" fontId="25" fillId="0" borderId="0" xfId="3" applyFont="1" applyAlignment="1" applyProtection="1">
      <alignment vertical="center"/>
      <protection hidden="1"/>
    </xf>
    <xf numFmtId="0" fontId="35" fillId="5" borderId="0" xfId="3" applyFont="1" applyFill="1" applyAlignment="1" applyProtection="1">
      <alignment vertical="center" shrinkToFit="1"/>
      <protection hidden="1"/>
    </xf>
    <xf numFmtId="0" fontId="3" fillId="5" borderId="0" xfId="3" applyFill="1" applyAlignment="1" applyProtection="1">
      <alignment horizontal="center" vertical="center"/>
      <protection hidden="1"/>
    </xf>
    <xf numFmtId="0" fontId="3" fillId="0" borderId="0" xfId="3" applyAlignment="1" applyProtection="1">
      <alignment horizontal="center" vertical="center"/>
      <protection hidden="1"/>
    </xf>
    <xf numFmtId="172" fontId="1" fillId="13" borderId="0" xfId="12" applyNumberFormat="1" applyFill="1"/>
    <xf numFmtId="0" fontId="1" fillId="5" borderId="0" xfId="3" applyFont="1" applyFill="1" applyAlignment="1" applyProtection="1">
      <alignment shrinkToFit="1"/>
      <protection hidden="1"/>
    </xf>
    <xf numFmtId="0" fontId="1" fillId="13" borderId="23" xfId="12" applyFill="1" applyBorder="1"/>
    <xf numFmtId="0" fontId="1" fillId="13" borderId="33" xfId="12" applyFill="1" applyBorder="1"/>
    <xf numFmtId="0" fontId="17" fillId="13" borderId="34" xfId="3" applyFont="1" applyFill="1" applyBorder="1" applyAlignment="1" applyProtection="1">
      <alignment horizontal="center" vertical="center" shrinkToFit="1"/>
      <protection hidden="1"/>
    </xf>
    <xf numFmtId="0" fontId="1" fillId="13" borderId="0" xfId="12" applyFill="1" applyAlignment="1">
      <alignment horizontal="center"/>
    </xf>
    <xf numFmtId="0" fontId="1" fillId="13" borderId="0" xfId="12" applyFill="1" applyAlignment="1">
      <alignment horizontal="left"/>
    </xf>
    <xf numFmtId="0" fontId="7" fillId="5" borderId="2" xfId="3" applyFont="1" applyFill="1" applyBorder="1" applyAlignment="1" applyProtection="1">
      <alignment horizontal="center"/>
      <protection locked="0" hidden="1"/>
    </xf>
    <xf numFmtId="0" fontId="7" fillId="5" borderId="1" xfId="3" applyFont="1" applyFill="1" applyBorder="1" applyAlignment="1" applyProtection="1">
      <alignment horizontal="center"/>
      <protection locked="0" hidden="1"/>
    </xf>
    <xf numFmtId="0" fontId="7" fillId="5" borderId="8" xfId="3" applyFont="1" applyFill="1" applyBorder="1" applyAlignment="1" applyProtection="1">
      <alignment horizontal="center" vertical="center" shrinkToFit="1"/>
      <protection locked="0" hidden="1"/>
    </xf>
    <xf numFmtId="0" fontId="7" fillId="5" borderId="35" xfId="3" applyFont="1" applyFill="1" applyBorder="1" applyAlignment="1" applyProtection="1">
      <alignment horizontal="center" vertical="center" shrinkToFit="1"/>
      <protection locked="0" hidden="1"/>
    </xf>
    <xf numFmtId="0" fontId="1" fillId="0" borderId="12" xfId="12" applyBorder="1"/>
    <xf numFmtId="0" fontId="21" fillId="0" borderId="0" xfId="3" applyFont="1" applyAlignment="1" applyProtection="1">
      <alignment horizontal="center"/>
      <protection hidden="1"/>
    </xf>
    <xf numFmtId="0" fontId="7" fillId="13" borderId="1" xfId="3" applyFont="1" applyFill="1" applyBorder="1" applyAlignment="1" applyProtection="1">
      <alignment horizontal="center" vertical="center" shrinkToFit="1"/>
      <protection hidden="1"/>
    </xf>
    <xf numFmtId="0" fontId="3" fillId="13" borderId="1" xfId="3" applyFill="1" applyBorder="1" applyAlignment="1" applyProtection="1">
      <alignment horizontal="center"/>
      <protection hidden="1"/>
    </xf>
    <xf numFmtId="0" fontId="3" fillId="13" borderId="0" xfId="3" applyFill="1" applyAlignment="1" applyProtection="1">
      <alignment horizontal="center"/>
      <protection hidden="1"/>
    </xf>
    <xf numFmtId="1" fontId="7" fillId="14" borderId="36" xfId="9" applyNumberFormat="1" applyFont="1" applyFill="1" applyBorder="1" applyAlignment="1" applyProtection="1">
      <alignment horizontal="center" vertical="center"/>
      <protection locked="0" hidden="1"/>
    </xf>
    <xf numFmtId="2" fontId="7" fillId="14" borderId="37" xfId="9" applyNumberFormat="1" applyFont="1" applyFill="1" applyBorder="1" applyAlignment="1" applyProtection="1">
      <alignment horizontal="center" vertical="center"/>
      <protection locked="0" hidden="1"/>
    </xf>
    <xf numFmtId="0" fontId="7" fillId="14" borderId="38" xfId="12" applyFont="1" applyFill="1" applyBorder="1" applyAlignment="1" applyProtection="1">
      <alignment horizontal="center"/>
      <protection locked="0"/>
    </xf>
    <xf numFmtId="168" fontId="7" fillId="0" borderId="0" xfId="9" applyNumberFormat="1" applyFont="1" applyAlignment="1" applyProtection="1">
      <alignment horizontal="center" vertical="center"/>
      <protection hidden="1"/>
    </xf>
    <xf numFmtId="0" fontId="3" fillId="13" borderId="0" xfId="3" applyFill="1" applyAlignment="1" applyProtection="1">
      <alignment horizontal="left"/>
      <protection hidden="1"/>
    </xf>
    <xf numFmtId="0" fontId="8" fillId="13" borderId="23" xfId="3" applyFont="1" applyFill="1" applyBorder="1" applyAlignment="1" applyProtection="1">
      <alignment horizontal="left"/>
      <protection hidden="1"/>
    </xf>
    <xf numFmtId="0" fontId="1" fillId="13" borderId="39" xfId="12" applyFill="1" applyBorder="1"/>
    <xf numFmtId="0" fontId="3" fillId="13" borderId="23" xfId="3" applyFill="1" applyBorder="1" applyProtection="1">
      <protection hidden="1"/>
    </xf>
    <xf numFmtId="2" fontId="37" fillId="13" borderId="24" xfId="3" applyNumberFormat="1" applyFont="1" applyFill="1" applyBorder="1" applyProtection="1">
      <protection hidden="1"/>
    </xf>
    <xf numFmtId="1" fontId="3" fillId="13" borderId="1" xfId="3" applyNumberFormat="1" applyFill="1" applyBorder="1" applyAlignment="1" applyProtection="1">
      <alignment horizontal="center"/>
      <protection hidden="1"/>
    </xf>
    <xf numFmtId="0" fontId="24" fillId="13" borderId="0" xfId="3" applyFont="1" applyFill="1" applyAlignment="1" applyProtection="1">
      <alignment horizontal="left"/>
      <protection hidden="1"/>
    </xf>
    <xf numFmtId="1" fontId="22" fillId="13" borderId="1" xfId="3" applyNumberFormat="1" applyFont="1" applyFill="1" applyBorder="1" applyAlignment="1" applyProtection="1">
      <alignment horizontal="center"/>
      <protection hidden="1"/>
    </xf>
    <xf numFmtId="0" fontId="22" fillId="13" borderId="1" xfId="3" applyFont="1" applyFill="1" applyBorder="1" applyAlignment="1" applyProtection="1">
      <alignment horizontal="center"/>
      <protection hidden="1"/>
    </xf>
    <xf numFmtId="2" fontId="1" fillId="13" borderId="0" xfId="12" applyNumberFormat="1" applyFill="1" applyAlignment="1">
      <alignment horizontal="center"/>
    </xf>
    <xf numFmtId="168" fontId="1" fillId="13" borderId="0" xfId="12" applyNumberFormat="1" applyFill="1" applyAlignment="1">
      <alignment horizontal="center"/>
    </xf>
    <xf numFmtId="0" fontId="7" fillId="14" borderId="40" xfId="12" applyFont="1" applyFill="1" applyBorder="1" applyAlignment="1" applyProtection="1">
      <alignment horizontal="center"/>
      <protection locked="0"/>
    </xf>
    <xf numFmtId="0" fontId="8" fillId="13" borderId="41" xfId="3" applyFont="1" applyFill="1" applyBorder="1" applyAlignment="1" applyProtection="1">
      <alignment horizontal="left"/>
      <protection hidden="1"/>
    </xf>
    <xf numFmtId="0" fontId="1" fillId="13" borderId="42" xfId="12" applyFill="1" applyBorder="1"/>
    <xf numFmtId="0" fontId="18" fillId="13" borderId="33" xfId="3" applyFont="1" applyFill="1" applyBorder="1" applyAlignment="1" applyProtection="1">
      <alignment vertical="center" shrinkToFit="1"/>
      <protection hidden="1"/>
    </xf>
    <xf numFmtId="2" fontId="37" fillId="13" borderId="6" xfId="3" applyNumberFormat="1" applyFont="1" applyFill="1" applyBorder="1" applyProtection="1">
      <protection hidden="1"/>
    </xf>
    <xf numFmtId="0" fontId="7" fillId="14" borderId="43" xfId="12" applyFont="1" applyFill="1" applyBorder="1" applyAlignment="1" applyProtection="1">
      <alignment horizontal="center"/>
      <protection locked="0"/>
    </xf>
    <xf numFmtId="2" fontId="38" fillId="13" borderId="6" xfId="3" applyNumberFormat="1" applyFont="1" applyFill="1" applyBorder="1" applyProtection="1">
      <protection hidden="1"/>
    </xf>
    <xf numFmtId="168" fontId="7" fillId="0" borderId="0" xfId="9" applyNumberFormat="1" applyFont="1" applyAlignment="1" applyProtection="1">
      <alignment horizontal="center" vertical="center"/>
      <protection locked="0" hidden="1"/>
    </xf>
    <xf numFmtId="0" fontId="7" fillId="14" borderId="44" xfId="12" applyFont="1" applyFill="1" applyBorder="1" applyAlignment="1" applyProtection="1">
      <alignment horizontal="center"/>
      <protection locked="0"/>
    </xf>
    <xf numFmtId="1" fontId="7" fillId="0" borderId="0" xfId="9" applyNumberFormat="1" applyFont="1" applyAlignment="1" applyProtection="1">
      <alignment horizontal="center" vertical="center"/>
      <protection locked="0" hidden="1"/>
    </xf>
    <xf numFmtId="0" fontId="8" fillId="13" borderId="33" xfId="3" applyFont="1" applyFill="1" applyBorder="1" applyAlignment="1" applyProtection="1">
      <alignment horizontal="left"/>
      <protection hidden="1"/>
    </xf>
    <xf numFmtId="0" fontId="1" fillId="13" borderId="45" xfId="12" applyFill="1" applyBorder="1"/>
    <xf numFmtId="0" fontId="12" fillId="5" borderId="0" xfId="3" applyFont="1" applyFill="1" applyProtection="1">
      <protection hidden="1"/>
    </xf>
    <xf numFmtId="0" fontId="1" fillId="7" borderId="6" xfId="12" applyFill="1" applyBorder="1" applyAlignment="1">
      <alignment vertical="center"/>
    </xf>
    <xf numFmtId="0" fontId="1" fillId="15" borderId="1" xfId="12" applyFill="1" applyBorder="1"/>
    <xf numFmtId="0" fontId="3" fillId="15" borderId="0" xfId="3" applyFill="1" applyProtection="1">
      <protection hidden="1"/>
    </xf>
    <xf numFmtId="0" fontId="0" fillId="15" borderId="1" xfId="3" applyFont="1" applyFill="1" applyBorder="1" applyProtection="1">
      <protection hidden="1"/>
    </xf>
    <xf numFmtId="0" fontId="2" fillId="0" borderId="0" xfId="9" applyFont="1" applyAlignment="1">
      <alignment vertical="center"/>
    </xf>
    <xf numFmtId="0" fontId="3" fillId="16" borderId="0" xfId="3" applyFill="1" applyProtection="1">
      <protection hidden="1"/>
    </xf>
    <xf numFmtId="0" fontId="3" fillId="17" borderId="0" xfId="3" applyFill="1" applyProtection="1">
      <protection hidden="1"/>
    </xf>
    <xf numFmtId="2" fontId="7" fillId="0" borderId="32" xfId="9" applyNumberFormat="1" applyFont="1" applyBorder="1" applyAlignment="1" applyProtection="1">
      <alignment horizontal="center" vertical="center"/>
      <protection hidden="1"/>
    </xf>
    <xf numFmtId="0" fontId="12" fillId="15" borderId="0" xfId="3" applyFont="1" applyFill="1" applyProtection="1">
      <protection hidden="1"/>
    </xf>
    <xf numFmtId="0" fontId="3" fillId="17" borderId="0" xfId="3" applyFill="1" applyAlignment="1" applyProtection="1">
      <alignment vertical="center"/>
      <protection hidden="1"/>
    </xf>
    <xf numFmtId="0" fontId="3" fillId="16" borderId="0" xfId="3" applyFill="1" applyAlignment="1" applyProtection="1">
      <alignment vertical="center"/>
      <protection hidden="1"/>
    </xf>
    <xf numFmtId="0" fontId="3" fillId="5" borderId="0" xfId="3" applyFill="1" applyAlignment="1" applyProtection="1">
      <alignment vertical="center" textRotation="90"/>
      <protection hidden="1"/>
    </xf>
    <xf numFmtId="0" fontId="24" fillId="13" borderId="0" xfId="3" applyFont="1" applyFill="1" applyAlignment="1" applyProtection="1">
      <alignment vertical="center"/>
      <protection hidden="1"/>
    </xf>
    <xf numFmtId="0" fontId="3" fillId="15" borderId="0" xfId="3" applyFill="1" applyAlignment="1" applyProtection="1">
      <alignment vertical="center"/>
      <protection hidden="1"/>
    </xf>
    <xf numFmtId="0" fontId="2" fillId="0" borderId="1" xfId="9" applyFont="1" applyBorder="1" applyAlignment="1">
      <alignment horizontal="center" vertical="center"/>
    </xf>
    <xf numFmtId="0" fontId="36" fillId="16" borderId="0" xfId="3" applyFont="1" applyFill="1" applyProtection="1">
      <protection hidden="1"/>
    </xf>
    <xf numFmtId="0" fontId="36" fillId="16" borderId="0" xfId="3" applyFont="1" applyFill="1" applyAlignment="1" applyProtection="1">
      <alignment vertical="center"/>
      <protection hidden="1"/>
    </xf>
    <xf numFmtId="0" fontId="1" fillId="0" borderId="0" xfId="9" applyFont="1" applyAlignment="1">
      <alignment horizontal="center" vertical="center"/>
    </xf>
    <xf numFmtId="0" fontId="1" fillId="0" borderId="0" xfId="9" applyFont="1" applyAlignment="1">
      <alignment vertical="center"/>
    </xf>
    <xf numFmtId="49" fontId="12" fillId="0" borderId="0" xfId="9" applyNumberFormat="1" applyFont="1" applyAlignment="1">
      <alignment horizontal="left" vertical="center"/>
    </xf>
    <xf numFmtId="0" fontId="3" fillId="0" borderId="0" xfId="3" quotePrefix="1" applyProtection="1">
      <protection hidden="1"/>
    </xf>
    <xf numFmtId="0" fontId="40" fillId="0" borderId="0" xfId="3" applyFont="1" applyAlignment="1" applyProtection="1">
      <alignment horizontal="center" vertical="center"/>
      <protection hidden="1"/>
    </xf>
    <xf numFmtId="0" fontId="8" fillId="0" borderId="0" xfId="3" applyFont="1" applyAlignment="1" applyProtection="1">
      <alignment horizontal="center" vertical="center"/>
      <protection hidden="1"/>
    </xf>
    <xf numFmtId="0" fontId="12" fillId="8" borderId="2" xfId="9" applyFont="1" applyFill="1" applyBorder="1" applyAlignment="1">
      <alignment horizontal="center" vertical="center"/>
    </xf>
    <xf numFmtId="0" fontId="12" fillId="8" borderId="3" xfId="9" applyFont="1" applyFill="1" applyBorder="1" applyAlignment="1">
      <alignment horizontal="center" vertical="center"/>
    </xf>
    <xf numFmtId="0" fontId="12" fillId="8" borderId="6" xfId="9" applyFont="1" applyFill="1" applyBorder="1" applyAlignment="1">
      <alignment horizontal="center" vertical="center"/>
    </xf>
    <xf numFmtId="0" fontId="12" fillId="0" borderId="1" xfId="9" applyFont="1" applyBorder="1" applyAlignment="1">
      <alignment horizontal="center" vertical="center"/>
    </xf>
    <xf numFmtId="0" fontId="3" fillId="0" borderId="1" xfId="9" applyBorder="1" applyAlignment="1">
      <alignment horizontal="center" vertical="center"/>
    </xf>
    <xf numFmtId="166" fontId="3" fillId="0" borderId="1" xfId="9" applyNumberFormat="1" applyBorder="1" applyAlignment="1">
      <alignment horizontal="center" vertical="center"/>
    </xf>
    <xf numFmtId="0" fontId="24" fillId="0" borderId="0" xfId="3" applyFont="1" applyProtection="1">
      <protection hidden="1"/>
    </xf>
    <xf numFmtId="0" fontId="7" fillId="0" borderId="0" xfId="12" applyFont="1"/>
    <xf numFmtId="0" fontId="7" fillId="0" borderId="0" xfId="12" applyFont="1" applyProtection="1">
      <protection hidden="1"/>
    </xf>
    <xf numFmtId="0" fontId="1" fillId="13" borderId="0" xfId="12" applyFill="1" applyProtection="1">
      <protection hidden="1"/>
    </xf>
    <xf numFmtId="0" fontId="24" fillId="0" borderId="1" xfId="3" applyFont="1" applyBorder="1" applyProtection="1">
      <protection hidden="1"/>
    </xf>
    <xf numFmtId="2" fontId="3" fillId="13" borderId="1" xfId="3" applyNumberFormat="1" applyFill="1" applyBorder="1" applyProtection="1">
      <protection hidden="1"/>
    </xf>
    <xf numFmtId="0" fontId="24" fillId="0" borderId="13" xfId="3" applyFont="1" applyBorder="1" applyProtection="1">
      <protection hidden="1"/>
    </xf>
    <xf numFmtId="0" fontId="24" fillId="0" borderId="49" xfId="3" applyFont="1" applyBorder="1" applyProtection="1">
      <protection hidden="1"/>
    </xf>
    <xf numFmtId="0" fontId="24" fillId="0" borderId="50" xfId="3" applyFont="1" applyBorder="1" applyProtection="1">
      <protection hidden="1"/>
    </xf>
    <xf numFmtId="0" fontId="24" fillId="0" borderId="7" xfId="3" applyFont="1" applyBorder="1" applyAlignment="1" applyProtection="1">
      <alignment horizontal="center"/>
      <protection hidden="1"/>
    </xf>
    <xf numFmtId="0" fontId="24" fillId="0" borderId="1" xfId="3" applyFont="1" applyBorder="1" applyAlignment="1" applyProtection="1">
      <alignment horizontal="center"/>
      <protection hidden="1"/>
    </xf>
    <xf numFmtId="0" fontId="24" fillId="0" borderId="51" xfId="3" applyFont="1" applyBorder="1" applyProtection="1">
      <protection hidden="1"/>
    </xf>
    <xf numFmtId="0" fontId="24" fillId="0" borderId="25" xfId="3" applyFont="1" applyBorder="1" applyAlignment="1" applyProtection="1">
      <alignment horizontal="center"/>
      <protection hidden="1"/>
    </xf>
    <xf numFmtId="2" fontId="24" fillId="0" borderId="7" xfId="3" applyNumberFormat="1" applyFont="1" applyBorder="1" applyProtection="1">
      <protection hidden="1"/>
    </xf>
    <xf numFmtId="2" fontId="24" fillId="0" borderId="7" xfId="3" applyNumberFormat="1" applyFont="1" applyBorder="1" applyAlignment="1" applyProtection="1">
      <alignment horizontal="center"/>
      <protection hidden="1"/>
    </xf>
    <xf numFmtId="0" fontId="24" fillId="0" borderId="7" xfId="3" applyFont="1" applyBorder="1" applyProtection="1">
      <protection hidden="1"/>
    </xf>
    <xf numFmtId="0" fontId="24" fillId="0" borderId="53" xfId="3" applyFont="1" applyBorder="1" applyAlignment="1" applyProtection="1">
      <alignment vertical="center"/>
      <protection hidden="1"/>
    </xf>
    <xf numFmtId="0" fontId="23" fillId="0" borderId="14" xfId="3" applyFont="1" applyBorder="1" applyAlignment="1" applyProtection="1">
      <alignment horizontal="center" vertical="center"/>
      <protection hidden="1"/>
    </xf>
    <xf numFmtId="2" fontId="24" fillId="0" borderId="14" xfId="3" applyNumberFormat="1" applyFont="1" applyBorder="1" applyAlignment="1" applyProtection="1">
      <alignment horizontal="center"/>
      <protection hidden="1"/>
    </xf>
    <xf numFmtId="2" fontId="24" fillId="0" borderId="14" xfId="3" applyNumberFormat="1" applyFont="1" applyBorder="1" applyProtection="1">
      <protection hidden="1"/>
    </xf>
    <xf numFmtId="164" fontId="24" fillId="0" borderId="14" xfId="3" applyNumberFormat="1" applyFont="1" applyBorder="1" applyAlignment="1" applyProtection="1">
      <alignment horizontal="center"/>
      <protection hidden="1"/>
    </xf>
    <xf numFmtId="0" fontId="24" fillId="0" borderId="14" xfId="3" applyFont="1" applyBorder="1" applyProtection="1">
      <protection hidden="1"/>
    </xf>
    <xf numFmtId="0" fontId="23" fillId="0" borderId="1" xfId="3" applyFont="1" applyBorder="1" applyAlignment="1" applyProtection="1">
      <alignment horizontal="center" vertical="center"/>
      <protection hidden="1"/>
    </xf>
    <xf numFmtId="2" fontId="24" fillId="0" borderId="1" xfId="3" applyNumberFormat="1" applyFont="1" applyBorder="1" applyAlignment="1" applyProtection="1">
      <alignment horizontal="center"/>
      <protection hidden="1"/>
    </xf>
    <xf numFmtId="2" fontId="24" fillId="0" borderId="1" xfId="3" applyNumberFormat="1" applyFont="1" applyBorder="1" applyProtection="1">
      <protection hidden="1"/>
    </xf>
    <xf numFmtId="164" fontId="24" fillId="0" borderId="1" xfId="3" applyNumberFormat="1" applyFont="1" applyBorder="1" applyAlignment="1" applyProtection="1">
      <alignment horizontal="center"/>
      <protection hidden="1"/>
    </xf>
    <xf numFmtId="2" fontId="3" fillId="13" borderId="10" xfId="3" applyNumberFormat="1" applyFill="1" applyBorder="1" applyProtection="1">
      <protection hidden="1"/>
    </xf>
    <xf numFmtId="0" fontId="24" fillId="5" borderId="0" xfId="3" applyFont="1" applyFill="1" applyProtection="1">
      <protection hidden="1"/>
    </xf>
    <xf numFmtId="0" fontId="1" fillId="5" borderId="1" xfId="12" applyFill="1" applyBorder="1"/>
    <xf numFmtId="0" fontId="0" fillId="5" borderId="1" xfId="3" applyFont="1" applyFill="1" applyBorder="1" applyProtection="1">
      <protection hidden="1"/>
    </xf>
    <xf numFmtId="0" fontId="1" fillId="0" borderId="0" xfId="9" applyFont="1" applyAlignment="1">
      <alignment horizontal="right" vertical="center"/>
    </xf>
    <xf numFmtId="0" fontId="42" fillId="0" borderId="1" xfId="9" applyFont="1" applyBorder="1" applyAlignment="1">
      <alignment horizontal="center" vertical="center"/>
    </xf>
    <xf numFmtId="1" fontId="29" fillId="0" borderId="1" xfId="9" applyNumberFormat="1" applyFont="1" applyBorder="1" applyAlignment="1" applyProtection="1">
      <alignment horizontal="center" vertical="center"/>
      <protection hidden="1"/>
    </xf>
    <xf numFmtId="168" fontId="29" fillId="0" borderId="1" xfId="9" applyNumberFormat="1" applyFont="1" applyBorder="1" applyAlignment="1" applyProtection="1">
      <alignment horizontal="center" vertical="center"/>
      <protection hidden="1"/>
    </xf>
    <xf numFmtId="2" fontId="29" fillId="0" borderId="1" xfId="9" applyNumberFormat="1" applyFont="1" applyBorder="1" applyAlignment="1" applyProtection="1">
      <alignment horizontal="center" vertical="center"/>
      <protection hidden="1"/>
    </xf>
    <xf numFmtId="2" fontId="7" fillId="0" borderId="31" xfId="9" applyNumberFormat="1" applyFont="1" applyBorder="1" applyAlignment="1" applyProtection="1">
      <alignment horizontal="center" vertical="center"/>
      <protection hidden="1"/>
    </xf>
    <xf numFmtId="0" fontId="1" fillId="5" borderId="4" xfId="3" applyFont="1" applyFill="1" applyBorder="1" applyAlignment="1" applyProtection="1">
      <alignment horizontal="center"/>
      <protection hidden="1"/>
    </xf>
    <xf numFmtId="0" fontId="1" fillId="0" borderId="5" xfId="3" applyFont="1" applyBorder="1" applyAlignment="1" applyProtection="1">
      <alignment horizontal="center"/>
      <protection hidden="1"/>
    </xf>
    <xf numFmtId="0" fontId="1" fillId="5" borderId="1" xfId="3" applyFont="1" applyFill="1" applyBorder="1" applyAlignment="1" applyProtection="1">
      <alignment horizontal="center"/>
      <protection hidden="1"/>
    </xf>
    <xf numFmtId="0" fontId="1" fillId="0" borderId="2" xfId="3" applyFont="1" applyBorder="1" applyAlignment="1" applyProtection="1">
      <alignment horizontal="center"/>
      <protection hidden="1"/>
    </xf>
    <xf numFmtId="0" fontId="2" fillId="7" borderId="6" xfId="3" applyFont="1" applyFill="1" applyBorder="1" applyAlignment="1" applyProtection="1">
      <alignment horizontal="center" vertical="center"/>
      <protection hidden="1"/>
    </xf>
    <xf numFmtId="0" fontId="0" fillId="16" borderId="0" xfId="3" applyFont="1" applyFill="1" applyProtection="1">
      <protection hidden="1"/>
    </xf>
    <xf numFmtId="2" fontId="24" fillId="13" borderId="0" xfId="3" applyNumberFormat="1" applyFont="1" applyFill="1" applyProtection="1">
      <protection hidden="1"/>
    </xf>
    <xf numFmtId="168" fontId="7" fillId="0" borderId="1" xfId="9" applyNumberFormat="1" applyFont="1" applyBorder="1" applyAlignment="1" applyProtection="1">
      <alignment vertical="center"/>
      <protection hidden="1"/>
    </xf>
    <xf numFmtId="168" fontId="7" fillId="0" borderId="1" xfId="9" applyNumberFormat="1" applyFont="1" applyBorder="1" applyAlignment="1" applyProtection="1">
      <alignment horizontal="center" vertical="center"/>
      <protection hidden="1"/>
    </xf>
    <xf numFmtId="168" fontId="7" fillId="0" borderId="0" xfId="9" applyNumberFormat="1" applyFont="1" applyAlignment="1" applyProtection="1">
      <alignment vertical="center"/>
      <protection hidden="1"/>
    </xf>
    <xf numFmtId="168" fontId="7" fillId="0" borderId="0" xfId="9" quotePrefix="1" applyNumberFormat="1" applyFont="1" applyAlignment="1" applyProtection="1">
      <alignment horizontal="center" vertical="center"/>
      <protection hidden="1"/>
    </xf>
    <xf numFmtId="0" fontId="2" fillId="7" borderId="6" xfId="3" applyFont="1" applyFill="1" applyBorder="1" applyAlignment="1" applyProtection="1">
      <alignment vertical="center"/>
      <protection hidden="1"/>
    </xf>
    <xf numFmtId="0" fontId="0" fillId="5" borderId="0" xfId="3" applyFont="1" applyFill="1" applyProtection="1">
      <protection hidden="1"/>
    </xf>
    <xf numFmtId="0" fontId="44" fillId="5" borderId="0" xfId="3" applyFont="1" applyFill="1" applyProtection="1">
      <protection hidden="1"/>
    </xf>
    <xf numFmtId="0" fontId="44" fillId="0" borderId="0" xfId="3" applyFont="1" applyProtection="1">
      <protection hidden="1"/>
    </xf>
    <xf numFmtId="0" fontId="45" fillId="0" borderId="0" xfId="12" applyFont="1"/>
    <xf numFmtId="0" fontId="45" fillId="0" borderId="48" xfId="12" applyFont="1" applyBorder="1"/>
    <xf numFmtId="0" fontId="46" fillId="0" borderId="0" xfId="3" applyFont="1" applyAlignment="1" applyProtection="1">
      <alignment shrinkToFit="1"/>
      <protection hidden="1"/>
    </xf>
    <xf numFmtId="0" fontId="44" fillId="0" borderId="48" xfId="3" applyFont="1" applyBorder="1" applyAlignment="1" applyProtection="1">
      <alignment horizontal="center"/>
      <protection hidden="1"/>
    </xf>
    <xf numFmtId="0" fontId="45" fillId="0" borderId="0" xfId="12" applyFont="1" applyProtection="1">
      <protection hidden="1"/>
    </xf>
    <xf numFmtId="0" fontId="44" fillId="0" borderId="1" xfId="3" applyFont="1" applyBorder="1" applyProtection="1">
      <protection hidden="1"/>
    </xf>
    <xf numFmtId="0" fontId="24" fillId="13" borderId="39" xfId="3" applyFont="1" applyFill="1" applyBorder="1" applyProtection="1">
      <protection hidden="1"/>
    </xf>
    <xf numFmtId="0" fontId="24" fillId="13" borderId="42" xfId="3" applyFont="1" applyFill="1" applyBorder="1" applyProtection="1">
      <protection hidden="1"/>
    </xf>
    <xf numFmtId="1" fontId="24" fillId="0" borderId="7" xfId="3" applyNumberFormat="1" applyFont="1" applyBorder="1" applyAlignment="1" applyProtection="1">
      <alignment horizontal="center"/>
      <protection hidden="1"/>
    </xf>
    <xf numFmtId="0" fontId="24" fillId="13" borderId="52" xfId="3" applyFont="1" applyFill="1" applyBorder="1" applyProtection="1">
      <protection hidden="1"/>
    </xf>
    <xf numFmtId="1" fontId="24" fillId="0" borderId="14" xfId="3" applyNumberFormat="1" applyFont="1" applyBorder="1" applyAlignment="1" applyProtection="1">
      <alignment horizontal="center"/>
      <protection hidden="1"/>
    </xf>
    <xf numFmtId="2" fontId="24" fillId="13" borderId="15" xfId="3" applyNumberFormat="1" applyFont="1" applyFill="1" applyBorder="1" applyProtection="1">
      <protection hidden="1"/>
    </xf>
    <xf numFmtId="168" fontId="24" fillId="0" borderId="0" xfId="3" applyNumberFormat="1" applyFont="1" applyProtection="1">
      <protection hidden="1"/>
    </xf>
    <xf numFmtId="2" fontId="24" fillId="13" borderId="10" xfId="3" applyNumberFormat="1" applyFont="1" applyFill="1" applyBorder="1" applyProtection="1">
      <protection hidden="1"/>
    </xf>
    <xf numFmtId="0" fontId="44" fillId="0" borderId="53" xfId="3" applyFont="1" applyBorder="1" applyAlignment="1" applyProtection="1">
      <alignment vertical="center"/>
      <protection hidden="1"/>
    </xf>
    <xf numFmtId="0" fontId="47" fillId="0" borderId="1" xfId="3" applyFont="1" applyBorder="1" applyAlignment="1" applyProtection="1">
      <alignment horizontal="center" vertical="center"/>
      <protection hidden="1"/>
    </xf>
    <xf numFmtId="2" fontId="44" fillId="0" borderId="1" xfId="3" applyNumberFormat="1" applyFont="1" applyBorder="1" applyAlignment="1" applyProtection="1">
      <alignment horizontal="center"/>
      <protection hidden="1"/>
    </xf>
    <xf numFmtId="0" fontId="44" fillId="0" borderId="1" xfId="3" applyFont="1" applyBorder="1" applyAlignment="1" applyProtection="1">
      <alignment horizontal="center"/>
      <protection hidden="1"/>
    </xf>
    <xf numFmtId="2" fontId="44" fillId="0" borderId="1" xfId="3" applyNumberFormat="1" applyFont="1" applyBorder="1" applyProtection="1">
      <protection hidden="1"/>
    </xf>
    <xf numFmtId="164" fontId="44" fillId="0" borderId="1" xfId="3" applyNumberFormat="1" applyFont="1" applyBorder="1" applyAlignment="1" applyProtection="1">
      <alignment horizontal="center"/>
      <protection hidden="1"/>
    </xf>
    <xf numFmtId="2" fontId="44" fillId="0" borderId="0" xfId="3" applyNumberFormat="1" applyFont="1" applyAlignment="1" applyProtection="1">
      <alignment horizontal="center"/>
      <protection hidden="1"/>
    </xf>
    <xf numFmtId="2" fontId="44" fillId="0" borderId="0" xfId="3" applyNumberFormat="1" applyFont="1" applyProtection="1">
      <protection hidden="1"/>
    </xf>
    <xf numFmtId="0" fontId="0" fillId="3" borderId="1" xfId="0" applyFill="1" applyBorder="1" applyAlignment="1">
      <alignment horizontal="center"/>
    </xf>
    <xf numFmtId="0" fontId="3" fillId="15" borderId="1" xfId="3" applyFill="1" applyBorder="1" applyAlignment="1" applyProtection="1">
      <alignment horizontal="center"/>
      <protection hidden="1"/>
    </xf>
    <xf numFmtId="0" fontId="3" fillId="15" borderId="1" xfId="3" applyFill="1" applyBorder="1" applyAlignment="1" applyProtection="1">
      <alignment horizontal="center" vertical="center"/>
      <protection hidden="1"/>
    </xf>
    <xf numFmtId="0" fontId="3" fillId="16" borderId="1" xfId="3" applyFill="1" applyBorder="1" applyAlignment="1" applyProtection="1">
      <alignment horizontal="center" vertical="center"/>
      <protection hidden="1"/>
    </xf>
    <xf numFmtId="0" fontId="3" fillId="13" borderId="1" xfId="3" applyFill="1" applyBorder="1" applyAlignment="1" applyProtection="1">
      <alignment horizontal="center" vertical="center"/>
      <protection hidden="1"/>
    </xf>
    <xf numFmtId="0" fontId="1" fillId="15" borderId="1" xfId="3" applyFont="1" applyFill="1" applyBorder="1" applyProtection="1">
      <protection hidden="1"/>
    </xf>
    <xf numFmtId="0" fontId="3" fillId="15" borderId="1" xfId="3" applyFill="1" applyBorder="1" applyAlignment="1" applyProtection="1">
      <alignment horizontal="right"/>
      <protection hidden="1"/>
    </xf>
    <xf numFmtId="0" fontId="0" fillId="0" borderId="0" xfId="0" applyAlignment="1">
      <alignment wrapText="1"/>
    </xf>
    <xf numFmtId="0" fontId="0" fillId="0" borderId="2" xfId="0" applyBorder="1" applyAlignment="1">
      <alignment horizontal="center" vertical="center"/>
    </xf>
    <xf numFmtId="0" fontId="0" fillId="0" borderId="6" xfId="0" applyBorder="1" applyAlignment="1">
      <alignment horizontal="center" vertical="center"/>
    </xf>
    <xf numFmtId="0" fontId="0" fillId="0" borderId="1" xfId="0" applyBorder="1" applyAlignment="1">
      <alignment horizontal="center" vertical="center" wrapText="1"/>
    </xf>
    <xf numFmtId="0" fontId="2" fillId="18" borderId="1" xfId="9" applyFont="1" applyFill="1" applyBorder="1" applyAlignment="1">
      <alignment horizontal="center" vertical="center"/>
    </xf>
    <xf numFmtId="168" fontId="7" fillId="18" borderId="1" xfId="9" applyNumberFormat="1" applyFont="1" applyFill="1" applyBorder="1" applyAlignment="1" applyProtection="1">
      <alignment horizontal="center" vertical="center"/>
      <protection hidden="1"/>
    </xf>
    <xf numFmtId="0" fontId="35" fillId="0" borderId="0" xfId="3" applyFont="1" applyProtection="1">
      <protection hidden="1"/>
    </xf>
    <xf numFmtId="0" fontId="35" fillId="5" borderId="0" xfId="3" applyFont="1" applyFill="1" applyProtection="1">
      <protection hidden="1"/>
    </xf>
    <xf numFmtId="0" fontId="35" fillId="5" borderId="7" xfId="3" applyFont="1" applyFill="1" applyBorder="1" applyAlignment="1" applyProtection="1">
      <alignment horizontal="center"/>
      <protection hidden="1"/>
    </xf>
    <xf numFmtId="0" fontId="54" fillId="0" borderId="23" xfId="3" applyFont="1" applyBorder="1" applyProtection="1">
      <protection hidden="1"/>
    </xf>
    <xf numFmtId="0" fontId="35" fillId="0" borderId="8" xfId="3" applyFont="1" applyBorder="1" applyProtection="1">
      <protection hidden="1"/>
    </xf>
    <xf numFmtId="0" fontId="53" fillId="5" borderId="0" xfId="3" applyFont="1" applyFill="1" applyProtection="1">
      <protection hidden="1"/>
    </xf>
    <xf numFmtId="0" fontId="54" fillId="0" borderId="13" xfId="3" applyFont="1" applyBorder="1" applyProtection="1">
      <protection hidden="1"/>
    </xf>
    <xf numFmtId="0" fontId="35" fillId="0" borderId="14" xfId="3" applyFont="1" applyBorder="1" applyProtection="1">
      <protection hidden="1"/>
    </xf>
    <xf numFmtId="0" fontId="35" fillId="0" borderId="21" xfId="3" applyFont="1" applyBorder="1" applyAlignment="1" applyProtection="1">
      <alignment horizontal="center" vertical="center"/>
      <protection hidden="1"/>
    </xf>
    <xf numFmtId="0" fontId="35" fillId="0" borderId="4" xfId="3" applyFont="1" applyBorder="1" applyProtection="1">
      <protection hidden="1"/>
    </xf>
    <xf numFmtId="0" fontId="35" fillId="0" borderId="1" xfId="3" applyFont="1" applyBorder="1" applyProtection="1">
      <protection hidden="1"/>
    </xf>
    <xf numFmtId="0" fontId="54" fillId="0" borderId="0" xfId="3" applyFont="1" applyAlignment="1" applyProtection="1">
      <alignment horizontal="center" vertical="center"/>
      <protection hidden="1"/>
    </xf>
    <xf numFmtId="0" fontId="50" fillId="5" borderId="0" xfId="3" applyFont="1" applyFill="1" applyAlignment="1" applyProtection="1">
      <alignment horizontal="center"/>
      <protection hidden="1"/>
    </xf>
    <xf numFmtId="0" fontId="54" fillId="0" borderId="11" xfId="3" applyFont="1" applyBorder="1" applyProtection="1">
      <protection hidden="1"/>
    </xf>
    <xf numFmtId="0" fontId="35" fillId="0" borderId="2" xfId="3" applyFont="1" applyBorder="1" applyAlignment="1" applyProtection="1">
      <alignment horizontal="center"/>
      <protection hidden="1"/>
    </xf>
    <xf numFmtId="0" fontId="54" fillId="0" borderId="13" xfId="3" applyFont="1" applyBorder="1" applyAlignment="1" applyProtection="1">
      <alignment horizontal="center"/>
      <protection hidden="1"/>
    </xf>
    <xf numFmtId="0" fontId="54" fillId="0" borderId="15" xfId="3" applyFont="1" applyBorder="1" applyAlignment="1" applyProtection="1">
      <alignment horizontal="center"/>
      <protection hidden="1"/>
    </xf>
    <xf numFmtId="0" fontId="35" fillId="0" borderId="6" xfId="3" applyFont="1" applyBorder="1" applyProtection="1">
      <protection hidden="1"/>
    </xf>
    <xf numFmtId="0" fontId="35" fillId="0" borderId="2" xfId="3" applyFont="1" applyBorder="1" applyProtection="1">
      <protection hidden="1"/>
    </xf>
    <xf numFmtId="0" fontId="35" fillId="0" borderId="0" xfId="3" applyFont="1" applyAlignment="1" applyProtection="1">
      <alignment horizontal="center" vertical="center"/>
      <protection hidden="1"/>
    </xf>
    <xf numFmtId="0" fontId="53" fillId="5" borderId="0" xfId="3" applyFont="1" applyFill="1" applyAlignment="1" applyProtection="1">
      <alignment horizontal="center"/>
      <protection hidden="1"/>
    </xf>
    <xf numFmtId="0" fontId="35" fillId="5" borderId="16" xfId="3" applyFont="1" applyFill="1" applyBorder="1" applyAlignment="1" applyProtection="1">
      <alignment horizontal="center"/>
      <protection hidden="1"/>
    </xf>
    <xf numFmtId="0" fontId="54" fillId="0" borderId="17" xfId="3" applyFont="1" applyBorder="1" applyAlignment="1" applyProtection="1">
      <alignment horizontal="center"/>
      <protection hidden="1"/>
    </xf>
    <xf numFmtId="2" fontId="54" fillId="0" borderId="19" xfId="3" applyNumberFormat="1" applyFont="1" applyBorder="1" applyProtection="1">
      <protection hidden="1"/>
    </xf>
    <xf numFmtId="2" fontId="54" fillId="0" borderId="16" xfId="3" applyNumberFormat="1" applyFont="1" applyBorder="1" applyAlignment="1" applyProtection="1">
      <alignment horizontal="center"/>
      <protection hidden="1"/>
    </xf>
    <xf numFmtId="2" fontId="54" fillId="0" borderId="18" xfId="3" applyNumberFormat="1" applyFont="1" applyBorder="1" applyAlignment="1" applyProtection="1">
      <alignment horizontal="center"/>
      <protection hidden="1"/>
    </xf>
    <xf numFmtId="0" fontId="54" fillId="0" borderId="20" xfId="3" applyFont="1" applyBorder="1" applyAlignment="1" applyProtection="1">
      <alignment horizontal="center"/>
      <protection hidden="1"/>
    </xf>
    <xf numFmtId="0" fontId="50" fillId="5" borderId="0" xfId="3" applyFont="1" applyFill="1" applyProtection="1">
      <protection hidden="1"/>
    </xf>
    <xf numFmtId="0" fontId="35" fillId="5" borderId="24" xfId="3" applyFont="1" applyFill="1" applyBorder="1" applyAlignment="1" applyProtection="1">
      <alignment horizontal="center" vertical="center"/>
      <protection hidden="1"/>
    </xf>
    <xf numFmtId="0" fontId="35" fillId="0" borderId="4" xfId="3" applyFont="1" applyBorder="1" applyAlignment="1" applyProtection="1">
      <alignment horizontal="center" vertical="center"/>
      <protection hidden="1"/>
    </xf>
    <xf numFmtId="2" fontId="35" fillId="0" borderId="4" xfId="3" applyNumberFormat="1" applyFont="1" applyBorder="1" applyAlignment="1" applyProtection="1">
      <alignment horizontal="center" vertical="center"/>
      <protection hidden="1"/>
    </xf>
    <xf numFmtId="164" fontId="35" fillId="0" borderId="4" xfId="3" applyNumberFormat="1" applyFont="1" applyBorder="1" applyAlignment="1" applyProtection="1">
      <alignment horizontal="center" vertical="center"/>
      <protection hidden="1"/>
    </xf>
    <xf numFmtId="0" fontId="53" fillId="5" borderId="0" xfId="3" applyFont="1" applyFill="1" applyAlignment="1" applyProtection="1">
      <alignment horizontal="center" vertical="center"/>
      <protection hidden="1"/>
    </xf>
    <xf numFmtId="2" fontId="53" fillId="5" borderId="0" xfId="3" applyNumberFormat="1" applyFont="1" applyFill="1" applyAlignment="1" applyProtection="1">
      <alignment horizontal="center" vertical="center"/>
      <protection hidden="1"/>
    </xf>
    <xf numFmtId="0" fontId="35" fillId="0" borderId="1" xfId="3" applyFont="1" applyBorder="1" applyAlignment="1" applyProtection="1">
      <alignment horizontal="center" vertical="center"/>
      <protection hidden="1"/>
    </xf>
    <xf numFmtId="2" fontId="35" fillId="0" borderId="1" xfId="3" applyNumberFormat="1" applyFont="1" applyBorder="1" applyAlignment="1" applyProtection="1">
      <alignment horizontal="center" vertical="center"/>
      <protection hidden="1"/>
    </xf>
    <xf numFmtId="164" fontId="35" fillId="0" borderId="1" xfId="3" applyNumberFormat="1" applyFont="1" applyBorder="1" applyAlignment="1" applyProtection="1">
      <alignment horizontal="center" vertical="center"/>
      <protection hidden="1"/>
    </xf>
    <xf numFmtId="164" fontId="35" fillId="0" borderId="1" xfId="3" applyNumberFormat="1" applyFont="1" applyBorder="1" applyAlignment="1" applyProtection="1">
      <alignment horizontal="center"/>
      <protection hidden="1"/>
    </xf>
    <xf numFmtId="2" fontId="3" fillId="20" borderId="0" xfId="3" applyNumberFormat="1" applyFill="1" applyProtection="1">
      <protection hidden="1"/>
    </xf>
    <xf numFmtId="168" fontId="3" fillId="20" borderId="0" xfId="3" applyNumberFormat="1" applyFill="1" applyProtection="1">
      <protection hidden="1"/>
    </xf>
    <xf numFmtId="165" fontId="3" fillId="20" borderId="0" xfId="3" applyNumberFormat="1" applyFill="1" applyProtection="1">
      <protection hidden="1"/>
    </xf>
    <xf numFmtId="0" fontId="58" fillId="20" borderId="0" xfId="3" applyFont="1" applyFill="1" applyProtection="1">
      <protection hidden="1"/>
    </xf>
    <xf numFmtId="2" fontId="24" fillId="20" borderId="0" xfId="3" applyNumberFormat="1" applyFont="1" applyFill="1" applyProtection="1">
      <protection hidden="1"/>
    </xf>
    <xf numFmtId="0" fontId="3" fillId="22" borderId="0" xfId="3" applyFill="1" applyProtection="1">
      <protection hidden="1"/>
    </xf>
    <xf numFmtId="0" fontId="24" fillId="22" borderId="0" xfId="3" applyFont="1" applyFill="1" applyProtection="1">
      <protection hidden="1"/>
    </xf>
    <xf numFmtId="0" fontId="3" fillId="0" borderId="0" xfId="3" applyProtection="1">
      <protection locked="0" hidden="1"/>
    </xf>
    <xf numFmtId="0" fontId="7" fillId="5" borderId="0" xfId="0" applyFont="1" applyFill="1" applyProtection="1">
      <protection locked="0" hidden="1"/>
    </xf>
    <xf numFmtId="0" fontId="57" fillId="5" borderId="1" xfId="3" applyFont="1" applyFill="1" applyBorder="1" applyProtection="1">
      <protection locked="0" hidden="1"/>
    </xf>
    <xf numFmtId="164" fontId="7" fillId="5" borderId="0" xfId="0" applyNumberFormat="1" applyFont="1" applyFill="1" applyProtection="1">
      <protection locked="0" hidden="1"/>
    </xf>
    <xf numFmtId="0" fontId="7" fillId="5" borderId="0" xfId="0" applyFont="1" applyFill="1" applyAlignment="1" applyProtection="1">
      <alignment horizontal="center" vertical="center"/>
      <protection locked="0" hidden="1"/>
    </xf>
    <xf numFmtId="2" fontId="7" fillId="5" borderId="0" xfId="0" applyNumberFormat="1" applyFont="1" applyFill="1" applyProtection="1">
      <protection locked="0" hidden="1"/>
    </xf>
    <xf numFmtId="0" fontId="60" fillId="5" borderId="0" xfId="0" applyFont="1" applyFill="1" applyProtection="1">
      <protection locked="0" hidden="1"/>
    </xf>
    <xf numFmtId="0" fontId="3" fillId="5" borderId="0" xfId="3" applyFill="1" applyProtection="1">
      <protection locked="0" hidden="1"/>
    </xf>
    <xf numFmtId="0" fontId="57" fillId="5" borderId="0" xfId="3" applyFont="1" applyFill="1" applyProtection="1">
      <protection locked="0" hidden="1"/>
    </xf>
    <xf numFmtId="2" fontId="57" fillId="5" borderId="1" xfId="3" applyNumberFormat="1" applyFont="1" applyFill="1" applyBorder="1" applyProtection="1">
      <protection locked="0" hidden="1"/>
    </xf>
    <xf numFmtId="0" fontId="0" fillId="0" borderId="0" xfId="0" applyProtection="1">
      <protection locked="0" hidden="1"/>
    </xf>
    <xf numFmtId="165" fontId="57" fillId="5" borderId="2" xfId="3" applyNumberFormat="1" applyFont="1" applyFill="1" applyBorder="1" applyProtection="1">
      <protection locked="0" hidden="1"/>
    </xf>
    <xf numFmtId="2" fontId="7" fillId="17" borderId="1" xfId="0" applyNumberFormat="1" applyFont="1" applyFill="1" applyBorder="1" applyProtection="1">
      <protection locked="0" hidden="1"/>
    </xf>
    <xf numFmtId="2" fontId="57" fillId="0" borderId="1" xfId="11" applyNumberFormat="1" applyFont="1" applyBorder="1" applyAlignment="1" applyProtection="1">
      <alignment horizontal="center" vertical="center"/>
      <protection locked="0" hidden="1"/>
    </xf>
    <xf numFmtId="2" fontId="7" fillId="23" borderId="1" xfId="0" applyNumberFormat="1" applyFont="1" applyFill="1" applyBorder="1" applyAlignment="1" applyProtection="1">
      <alignment horizontal="center" vertical="center"/>
      <protection locked="0" hidden="1"/>
    </xf>
    <xf numFmtId="2" fontId="57" fillId="0" borderId="1" xfId="3" applyNumberFormat="1" applyFont="1" applyBorder="1" applyAlignment="1" applyProtection="1">
      <alignment horizontal="center" vertical="center"/>
      <protection locked="0" hidden="1"/>
    </xf>
    <xf numFmtId="0" fontId="60" fillId="5" borderId="2" xfId="0" applyFont="1" applyFill="1" applyBorder="1" applyProtection="1">
      <protection locked="0" hidden="1"/>
    </xf>
    <xf numFmtId="0" fontId="7" fillId="24" borderId="1" xfId="0" applyFont="1" applyFill="1" applyBorder="1" applyProtection="1">
      <protection locked="0" hidden="1"/>
    </xf>
    <xf numFmtId="0" fontId="60" fillId="5" borderId="1" xfId="3" quotePrefix="1" applyFont="1" applyFill="1" applyBorder="1" applyAlignment="1" applyProtection="1">
      <alignment horizontal="center" vertical="center"/>
      <protection locked="0" hidden="1"/>
    </xf>
    <xf numFmtId="0" fontId="57" fillId="0" borderId="0" xfId="3" applyFont="1" applyAlignment="1" applyProtection="1">
      <alignment horizontal="right"/>
      <protection locked="0" hidden="1"/>
    </xf>
    <xf numFmtId="2" fontId="7" fillId="5" borderId="0" xfId="0" applyNumberFormat="1" applyFont="1" applyFill="1" applyAlignment="1" applyProtection="1">
      <alignment horizontal="center" vertical="center"/>
      <protection locked="0" hidden="1"/>
    </xf>
    <xf numFmtId="0" fontId="60" fillId="5" borderId="1" xfId="0" applyFont="1" applyFill="1" applyBorder="1" applyAlignment="1" applyProtection="1">
      <alignment horizontal="center"/>
      <protection locked="0" hidden="1"/>
    </xf>
    <xf numFmtId="0" fontId="7" fillId="24" borderId="1" xfId="0" applyFont="1" applyFill="1" applyBorder="1" applyAlignment="1" applyProtection="1">
      <alignment horizontal="center" vertical="center"/>
      <protection locked="0" hidden="1"/>
    </xf>
    <xf numFmtId="2" fontId="7" fillId="17" borderId="2" xfId="0" quotePrefix="1" applyNumberFormat="1" applyFont="1" applyFill="1" applyBorder="1" applyProtection="1">
      <protection locked="0" hidden="1"/>
    </xf>
    <xf numFmtId="2" fontId="57" fillId="0" borderId="2" xfId="3" applyNumberFormat="1" applyFont="1" applyBorder="1" applyAlignment="1" applyProtection="1">
      <alignment horizontal="center" vertical="center"/>
      <protection locked="0" hidden="1"/>
    </xf>
    <xf numFmtId="168" fontId="57" fillId="0" borderId="6" xfId="11" applyNumberFormat="1" applyFont="1" applyBorder="1" applyAlignment="1" applyProtection="1">
      <alignment horizontal="center" vertical="center"/>
      <protection locked="0" hidden="1"/>
    </xf>
    <xf numFmtId="0" fontId="60" fillId="5" borderId="1" xfId="0" applyFont="1" applyFill="1" applyBorder="1" applyProtection="1">
      <protection locked="0" hidden="1"/>
    </xf>
    <xf numFmtId="0" fontId="7" fillId="5" borderId="1" xfId="0" applyFont="1" applyFill="1" applyBorder="1" applyAlignment="1" applyProtection="1">
      <alignment horizontal="center" vertical="center"/>
      <protection locked="0" hidden="1"/>
    </xf>
    <xf numFmtId="0" fontId="60" fillId="3" borderId="1" xfId="0" applyFont="1" applyFill="1" applyBorder="1" applyAlignment="1" applyProtection="1">
      <alignment horizontal="center"/>
      <protection locked="0" hidden="1"/>
    </xf>
    <xf numFmtId="0" fontId="7" fillId="5" borderId="1" xfId="0" applyFont="1" applyFill="1" applyBorder="1" applyProtection="1">
      <protection locked="0" hidden="1"/>
    </xf>
    <xf numFmtId="1" fontId="7" fillId="25" borderId="1" xfId="0" applyNumberFormat="1" applyFont="1" applyFill="1" applyBorder="1" applyProtection="1">
      <protection locked="0" hidden="1"/>
    </xf>
    <xf numFmtId="164" fontId="60" fillId="5" borderId="0" xfId="0" applyNumberFormat="1" applyFont="1" applyFill="1" applyAlignment="1" applyProtection="1">
      <alignment horizontal="center"/>
      <protection locked="0" hidden="1"/>
    </xf>
    <xf numFmtId="2" fontId="7" fillId="5" borderId="1" xfId="0" applyNumberFormat="1" applyFont="1" applyFill="1" applyBorder="1" applyAlignment="1" applyProtection="1">
      <alignment horizontal="center" vertical="center"/>
      <protection locked="0" hidden="1"/>
    </xf>
    <xf numFmtId="175" fontId="60" fillId="3" borderId="1" xfId="3" quotePrefix="1" applyNumberFormat="1" applyFont="1" applyFill="1" applyBorder="1" applyAlignment="1" applyProtection="1">
      <alignment horizontal="center" vertical="center"/>
      <protection locked="0" hidden="1"/>
    </xf>
    <xf numFmtId="171" fontId="60" fillId="3" borderId="1" xfId="0" applyNumberFormat="1" applyFont="1" applyFill="1" applyBorder="1" applyAlignment="1" applyProtection="1">
      <alignment vertical="center"/>
      <protection locked="0" hidden="1"/>
    </xf>
    <xf numFmtId="171" fontId="60" fillId="5" borderId="1" xfId="3" quotePrefix="1" applyNumberFormat="1" applyFont="1" applyFill="1" applyBorder="1" applyAlignment="1" applyProtection="1">
      <alignment horizontal="center" vertical="center"/>
      <protection locked="0" hidden="1"/>
    </xf>
    <xf numFmtId="0" fontId="7" fillId="3" borderId="1" xfId="0" applyFont="1" applyFill="1" applyBorder="1" applyAlignment="1" applyProtection="1">
      <alignment horizontal="center"/>
      <protection locked="0" hidden="1"/>
    </xf>
    <xf numFmtId="2" fontId="60" fillId="5" borderId="1" xfId="0" applyNumberFormat="1" applyFont="1" applyFill="1" applyBorder="1" applyAlignment="1" applyProtection="1">
      <alignment horizontal="center"/>
      <protection locked="0" hidden="1"/>
    </xf>
    <xf numFmtId="0" fontId="60" fillId="3" borderId="1" xfId="3" quotePrefix="1" applyFont="1" applyFill="1" applyBorder="1" applyAlignment="1" applyProtection="1">
      <alignment horizontal="center" vertical="center"/>
      <protection locked="0" hidden="1"/>
    </xf>
    <xf numFmtId="0" fontId="60" fillId="5" borderId="0" xfId="0" applyFont="1" applyFill="1" applyAlignment="1" applyProtection="1">
      <alignment horizontal="center" vertical="center"/>
      <protection locked="0" hidden="1"/>
    </xf>
    <xf numFmtId="2" fontId="60" fillId="5" borderId="0" xfId="0" applyNumberFormat="1" applyFont="1" applyFill="1" applyAlignment="1" applyProtection="1">
      <alignment horizontal="center"/>
      <protection locked="0" hidden="1"/>
    </xf>
    <xf numFmtId="0" fontId="19" fillId="0" borderId="0" xfId="0" applyFont="1" applyProtection="1">
      <protection locked="0" hidden="1"/>
    </xf>
    <xf numFmtId="2" fontId="60" fillId="5" borderId="1" xfId="3" quotePrefix="1" applyNumberFormat="1" applyFont="1" applyFill="1" applyBorder="1" applyAlignment="1" applyProtection="1">
      <alignment horizontal="center" vertical="center"/>
      <protection locked="0" hidden="1"/>
    </xf>
    <xf numFmtId="0" fontId="7" fillId="10" borderId="0" xfId="0" applyFont="1" applyFill="1" applyProtection="1">
      <protection hidden="1"/>
    </xf>
    <xf numFmtId="0" fontId="11" fillId="10" borderId="0" xfId="0" applyFont="1" applyFill="1" applyProtection="1">
      <protection hidden="1"/>
    </xf>
    <xf numFmtId="165" fontId="0" fillId="10" borderId="0" xfId="0" applyNumberFormat="1" applyFill="1" applyProtection="1">
      <protection hidden="1"/>
    </xf>
    <xf numFmtId="0" fontId="0" fillId="10" borderId="0" xfId="0" applyFill="1" applyProtection="1">
      <protection hidden="1"/>
    </xf>
    <xf numFmtId="0" fontId="7" fillId="5" borderId="0" xfId="0" applyFont="1" applyFill="1" applyProtection="1">
      <protection hidden="1"/>
    </xf>
    <xf numFmtId="0" fontId="7" fillId="5" borderId="22" xfId="0" applyFont="1" applyFill="1" applyBorder="1" applyProtection="1">
      <protection hidden="1"/>
    </xf>
    <xf numFmtId="0" fontId="9" fillId="5" borderId="0" xfId="0" applyFont="1" applyFill="1" applyProtection="1">
      <protection hidden="1"/>
    </xf>
    <xf numFmtId="0" fontId="11" fillId="5" borderId="0" xfId="0" applyFont="1" applyFill="1" applyProtection="1">
      <protection hidden="1"/>
    </xf>
    <xf numFmtId="165" fontId="0" fillId="5" borderId="0" xfId="0" applyNumberFormat="1" applyFill="1" applyProtection="1">
      <protection hidden="1"/>
    </xf>
    <xf numFmtId="0" fontId="0" fillId="5" borderId="0" xfId="0" applyFill="1" applyProtection="1">
      <protection hidden="1"/>
    </xf>
    <xf numFmtId="0" fontId="7" fillId="5" borderId="0" xfId="0" applyFont="1" applyFill="1" applyAlignment="1" applyProtection="1">
      <alignment horizontal="center" vertical="center"/>
      <protection hidden="1"/>
    </xf>
    <xf numFmtId="14" fontId="0" fillId="5" borderId="0" xfId="0" applyNumberFormat="1" applyFill="1" applyAlignment="1" applyProtection="1">
      <alignment horizontal="center"/>
      <protection hidden="1"/>
    </xf>
    <xf numFmtId="0" fontId="0" fillId="5" borderId="0" xfId="0" applyFill="1" applyAlignment="1" applyProtection="1">
      <alignment horizontal="center"/>
      <protection hidden="1"/>
    </xf>
    <xf numFmtId="165" fontId="7" fillId="5" borderId="0" xfId="0" applyNumberFormat="1" applyFont="1" applyFill="1" applyProtection="1">
      <protection hidden="1"/>
    </xf>
    <xf numFmtId="0" fontId="7" fillId="5" borderId="1" xfId="0" applyFont="1" applyFill="1" applyBorder="1" applyProtection="1">
      <protection hidden="1"/>
    </xf>
    <xf numFmtId="165" fontId="7" fillId="5" borderId="1" xfId="0" applyNumberFormat="1" applyFont="1" applyFill="1" applyBorder="1" applyAlignment="1" applyProtection="1">
      <alignment horizontal="center"/>
      <protection hidden="1"/>
    </xf>
    <xf numFmtId="0" fontId="7" fillId="5" borderId="1" xfId="0" applyFont="1" applyFill="1" applyBorder="1" applyAlignment="1" applyProtection="1">
      <alignment horizontal="center" vertical="center"/>
      <protection hidden="1"/>
    </xf>
    <xf numFmtId="0" fontId="7" fillId="5" borderId="7" xfId="0" applyFont="1" applyFill="1" applyBorder="1" applyProtection="1">
      <protection hidden="1"/>
    </xf>
    <xf numFmtId="2" fontId="7" fillId="5" borderId="1" xfId="0" applyNumberFormat="1" applyFont="1" applyFill="1" applyBorder="1" applyProtection="1">
      <protection hidden="1"/>
    </xf>
    <xf numFmtId="0" fontId="7" fillId="5" borderId="1" xfId="0" applyFont="1" applyFill="1" applyBorder="1" applyAlignment="1" applyProtection="1">
      <alignment horizontal="center"/>
      <protection hidden="1"/>
    </xf>
    <xf numFmtId="0" fontId="17" fillId="5" borderId="0" xfId="0" applyFont="1" applyFill="1" applyAlignment="1" applyProtection="1">
      <alignment horizontal="center" vertical="center"/>
      <protection hidden="1"/>
    </xf>
    <xf numFmtId="0" fontId="17" fillId="5" borderId="22" xfId="0" applyFont="1" applyFill="1" applyBorder="1" applyAlignment="1" applyProtection="1">
      <alignment horizontal="center" vertical="center"/>
      <protection hidden="1"/>
    </xf>
    <xf numFmtId="2" fontId="16" fillId="5" borderId="1" xfId="0" applyNumberFormat="1" applyFont="1" applyFill="1" applyBorder="1" applyAlignment="1" applyProtection="1">
      <alignment horizontal="center" vertical="center"/>
      <protection hidden="1"/>
    </xf>
    <xf numFmtId="0" fontId="7" fillId="5" borderId="4" xfId="0" applyFont="1" applyFill="1" applyBorder="1" applyProtection="1">
      <protection hidden="1"/>
    </xf>
    <xf numFmtId="0" fontId="7" fillId="5" borderId="12" xfId="0" applyFont="1" applyFill="1" applyBorder="1" applyProtection="1">
      <protection hidden="1"/>
    </xf>
    <xf numFmtId="2" fontId="11" fillId="5" borderId="7" xfId="0" applyNumberFormat="1" applyFont="1" applyFill="1" applyBorder="1" applyAlignment="1" applyProtection="1">
      <alignment horizontal="center" vertical="center"/>
      <protection hidden="1"/>
    </xf>
    <xf numFmtId="2" fontId="7" fillId="5" borderId="4" xfId="0" applyNumberFormat="1" applyFont="1" applyFill="1" applyBorder="1" applyAlignment="1" applyProtection="1">
      <alignment horizontal="center" vertical="center"/>
      <protection hidden="1"/>
    </xf>
    <xf numFmtId="2" fontId="11" fillId="5" borderId="0" xfId="0" applyNumberFormat="1" applyFont="1" applyFill="1" applyProtection="1">
      <protection hidden="1"/>
    </xf>
    <xf numFmtId="0" fontId="0" fillId="0" borderId="0" xfId="0" applyProtection="1">
      <protection hidden="1"/>
    </xf>
    <xf numFmtId="0" fontId="60" fillId="5" borderId="1" xfId="0" applyFont="1" applyFill="1" applyBorder="1" applyAlignment="1" applyProtection="1">
      <alignment horizontal="center"/>
      <protection hidden="1"/>
    </xf>
    <xf numFmtId="2" fontId="60" fillId="5" borderId="1" xfId="0" applyNumberFormat="1" applyFont="1" applyFill="1" applyBorder="1" applyAlignment="1" applyProtection="1">
      <alignment horizontal="center"/>
      <protection hidden="1"/>
    </xf>
    <xf numFmtId="0" fontId="60" fillId="5" borderId="1" xfId="3" quotePrefix="1" applyFont="1" applyFill="1" applyBorder="1" applyAlignment="1" applyProtection="1">
      <alignment horizontal="center" vertical="center"/>
      <protection hidden="1"/>
    </xf>
    <xf numFmtId="2" fontId="60" fillId="5" borderId="1" xfId="3" quotePrefix="1" applyNumberFormat="1" applyFont="1" applyFill="1" applyBorder="1" applyAlignment="1" applyProtection="1">
      <alignment horizontal="center" vertical="center"/>
      <protection hidden="1"/>
    </xf>
    <xf numFmtId="0" fontId="0" fillId="5" borderId="1" xfId="0" applyFill="1" applyBorder="1" applyProtection="1">
      <protection hidden="1"/>
    </xf>
    <xf numFmtId="0" fontId="7" fillId="5" borderId="9" xfId="0" applyFont="1" applyFill="1" applyBorder="1" applyProtection="1">
      <protection hidden="1"/>
    </xf>
    <xf numFmtId="0" fontId="7" fillId="5" borderId="0" xfId="0" applyFont="1" applyFill="1" applyAlignment="1" applyProtection="1">
      <alignment horizontal="right"/>
      <protection hidden="1"/>
    </xf>
    <xf numFmtId="0" fontId="0" fillId="5" borderId="0" xfId="0" applyFill="1" applyAlignment="1" applyProtection="1">
      <alignment horizontal="right"/>
      <protection hidden="1"/>
    </xf>
    <xf numFmtId="0" fontId="51" fillId="7" borderId="1" xfId="9" applyFont="1" applyFill="1" applyBorder="1" applyAlignment="1" applyProtection="1">
      <alignment horizontal="center" vertical="center"/>
      <protection hidden="1"/>
    </xf>
    <xf numFmtId="2" fontId="52" fillId="5" borderId="1" xfId="0" applyNumberFormat="1" applyFont="1" applyFill="1" applyBorder="1" applyAlignment="1" applyProtection="1">
      <alignment horizontal="center" vertical="center"/>
      <protection hidden="1"/>
    </xf>
    <xf numFmtId="2" fontId="7" fillId="5" borderId="0" xfId="0" applyNumberFormat="1" applyFont="1" applyFill="1" applyProtection="1">
      <protection hidden="1"/>
    </xf>
    <xf numFmtId="1" fontId="7" fillId="5" borderId="0" xfId="0" applyNumberFormat="1" applyFont="1" applyFill="1" applyAlignment="1" applyProtection="1">
      <alignment horizontal="center" vertical="center"/>
      <protection hidden="1"/>
    </xf>
    <xf numFmtId="172" fontId="7" fillId="5" borderId="0" xfId="0" applyNumberFormat="1" applyFont="1" applyFill="1" applyProtection="1">
      <protection hidden="1"/>
    </xf>
    <xf numFmtId="0" fontId="53" fillId="5" borderId="0" xfId="0" applyFont="1" applyFill="1" applyProtection="1">
      <protection hidden="1"/>
    </xf>
    <xf numFmtId="165" fontId="53" fillId="5" borderId="0" xfId="0" applyNumberFormat="1" applyFont="1" applyFill="1" applyProtection="1">
      <protection hidden="1"/>
    </xf>
    <xf numFmtId="0" fontId="53" fillId="12" borderId="6" xfId="0" applyFont="1" applyFill="1" applyBorder="1" applyAlignment="1" applyProtection="1">
      <alignment horizontal="center" vertical="center"/>
      <protection hidden="1"/>
    </xf>
    <xf numFmtId="1" fontId="53" fillId="5" borderId="0" xfId="0" applyNumberFormat="1" applyFont="1" applyFill="1" applyAlignment="1" applyProtection="1">
      <alignment horizontal="center" vertical="center"/>
      <protection hidden="1"/>
    </xf>
    <xf numFmtId="0" fontId="53" fillId="5" borderId="22" xfId="0" applyFont="1" applyFill="1" applyBorder="1" applyProtection="1">
      <protection hidden="1"/>
    </xf>
    <xf numFmtId="0" fontId="53" fillId="5" borderId="1" xfId="0" applyFont="1" applyFill="1" applyBorder="1" applyAlignment="1" applyProtection="1">
      <alignment horizontal="center" vertical="center"/>
      <protection hidden="1"/>
    </xf>
    <xf numFmtId="0" fontId="35" fillId="0" borderId="0" xfId="0" applyFont="1" applyProtection="1">
      <protection hidden="1"/>
    </xf>
    <xf numFmtId="0" fontId="53" fillId="12" borderId="1" xfId="0" applyFont="1" applyFill="1" applyBorder="1" applyAlignment="1" applyProtection="1">
      <alignment horizontal="center" vertical="center"/>
      <protection hidden="1"/>
    </xf>
    <xf numFmtId="0" fontId="53" fillId="12" borderId="0" xfId="0" applyFont="1" applyFill="1" applyProtection="1">
      <protection hidden="1"/>
    </xf>
    <xf numFmtId="0" fontId="53" fillId="5" borderId="0" xfId="0" applyFont="1" applyFill="1" applyAlignment="1" applyProtection="1">
      <alignment horizontal="right"/>
      <protection hidden="1"/>
    </xf>
    <xf numFmtId="0" fontId="53" fillId="5" borderId="0" xfId="0" applyFont="1" applyFill="1" applyAlignment="1" applyProtection="1">
      <alignment horizontal="left"/>
      <protection hidden="1"/>
    </xf>
    <xf numFmtId="0" fontId="53" fillId="5" borderId="34" xfId="0" applyFont="1" applyFill="1" applyBorder="1" applyProtection="1">
      <protection hidden="1"/>
    </xf>
    <xf numFmtId="165" fontId="53" fillId="5" borderId="0" xfId="0" applyNumberFormat="1" applyFont="1" applyFill="1" applyAlignment="1" applyProtection="1">
      <alignment horizontal="center" vertical="center"/>
      <protection hidden="1"/>
    </xf>
    <xf numFmtId="0" fontId="53" fillId="5" borderId="0" xfId="0" applyFont="1" applyFill="1" applyAlignment="1" applyProtection="1">
      <alignment horizontal="center" vertical="center"/>
      <protection hidden="1"/>
    </xf>
    <xf numFmtId="0" fontId="50" fillId="5" borderId="0" xfId="0" applyFont="1" applyFill="1" applyProtection="1">
      <protection hidden="1"/>
    </xf>
    <xf numFmtId="0" fontId="50" fillId="21" borderId="22" xfId="0" applyFont="1" applyFill="1" applyBorder="1" applyProtection="1">
      <protection hidden="1"/>
    </xf>
    <xf numFmtId="0" fontId="50" fillId="21" borderId="0" xfId="0" applyFont="1" applyFill="1" applyAlignment="1" applyProtection="1">
      <alignment horizontal="center"/>
      <protection hidden="1"/>
    </xf>
    <xf numFmtId="2" fontId="53" fillId="5" borderId="0" xfId="0" applyNumberFormat="1" applyFont="1" applyFill="1" applyAlignment="1" applyProtection="1">
      <alignment horizontal="center" vertical="center"/>
      <protection hidden="1"/>
    </xf>
    <xf numFmtId="0" fontId="53" fillId="12" borderId="25" xfId="0" applyFont="1" applyFill="1" applyBorder="1" applyAlignment="1" applyProtection="1">
      <alignment horizontal="center" vertical="center"/>
      <protection hidden="1"/>
    </xf>
    <xf numFmtId="0" fontId="50" fillId="21" borderId="0" xfId="0" applyFont="1" applyFill="1" applyProtection="1">
      <protection hidden="1"/>
    </xf>
    <xf numFmtId="2" fontId="53" fillId="5" borderId="1" xfId="0" applyNumberFormat="1" applyFont="1" applyFill="1" applyBorder="1" applyAlignment="1" applyProtection="1">
      <alignment horizontal="center" vertical="center"/>
      <protection hidden="1"/>
    </xf>
    <xf numFmtId="0" fontId="53" fillId="5" borderId="0" xfId="0" applyFont="1" applyFill="1" applyAlignment="1" applyProtection="1">
      <alignment horizontal="left" vertical="center"/>
      <protection hidden="1"/>
    </xf>
    <xf numFmtId="2" fontId="53" fillId="5" borderId="0" xfId="0" applyNumberFormat="1" applyFont="1" applyFill="1" applyProtection="1">
      <protection hidden="1"/>
    </xf>
    <xf numFmtId="165" fontId="35" fillId="0" borderId="0" xfId="0" applyNumberFormat="1" applyFont="1" applyProtection="1">
      <protection hidden="1"/>
    </xf>
    <xf numFmtId="0" fontId="35" fillId="0" borderId="1" xfId="0" applyFont="1" applyBorder="1" applyProtection="1">
      <protection hidden="1"/>
    </xf>
    <xf numFmtId="0" fontId="35" fillId="0" borderId="2" xfId="0" applyFont="1" applyBorder="1" applyProtection="1">
      <protection hidden="1"/>
    </xf>
    <xf numFmtId="0" fontId="53" fillId="5" borderId="0" xfId="0" applyFont="1" applyFill="1" applyAlignment="1" applyProtection="1">
      <alignment horizontal="center"/>
      <protection hidden="1"/>
    </xf>
    <xf numFmtId="2" fontId="35" fillId="0" borderId="0" xfId="0" applyNumberFormat="1" applyFont="1" applyAlignment="1" applyProtection="1">
      <alignment horizontal="center" vertical="center"/>
      <protection hidden="1"/>
    </xf>
    <xf numFmtId="0" fontId="20" fillId="0" borderId="0" xfId="0" applyFont="1" applyProtection="1">
      <protection hidden="1"/>
    </xf>
    <xf numFmtId="165" fontId="0" fillId="0" borderId="0" xfId="0" applyNumberFormat="1" applyProtection="1">
      <protection hidden="1"/>
    </xf>
    <xf numFmtId="2" fontId="0" fillId="0" borderId="0" xfId="0" applyNumberFormat="1" applyAlignment="1" applyProtection="1">
      <alignment horizontal="center" vertical="center"/>
      <protection hidden="1"/>
    </xf>
    <xf numFmtId="2" fontId="7" fillId="5" borderId="1" xfId="0" applyNumberFormat="1" applyFont="1" applyFill="1" applyBorder="1" applyAlignment="1" applyProtection="1">
      <alignment horizontal="center" vertical="center"/>
      <protection hidden="1"/>
    </xf>
    <xf numFmtId="0" fontId="7" fillId="3" borderId="1" xfId="0" applyFont="1" applyFill="1" applyBorder="1" applyAlignment="1" applyProtection="1">
      <alignment horizontal="center" vertical="center"/>
      <protection hidden="1"/>
    </xf>
    <xf numFmtId="0" fontId="0" fillId="5" borderId="0" xfId="0" applyFill="1"/>
    <xf numFmtId="0" fontId="4" fillId="0" borderId="0" xfId="9" applyFont="1" applyAlignment="1">
      <alignment vertical="center" wrapText="1"/>
    </xf>
    <xf numFmtId="0" fontId="4" fillId="0" borderId="0" xfId="9" applyFont="1" applyAlignment="1">
      <alignment vertical="top" wrapText="1"/>
    </xf>
    <xf numFmtId="0" fontId="1" fillId="7" borderId="0" xfId="4" applyFill="1" applyAlignment="1">
      <alignment wrapText="1"/>
    </xf>
    <xf numFmtId="0" fontId="1" fillId="0" borderId="0" xfId="4" applyAlignment="1">
      <alignment wrapText="1"/>
    </xf>
    <xf numFmtId="0" fontId="7" fillId="5" borderId="0" xfId="0" applyFont="1" applyFill="1" applyAlignment="1" applyProtection="1">
      <alignment wrapText="1"/>
      <protection hidden="1"/>
    </xf>
    <xf numFmtId="0" fontId="7" fillId="5" borderId="22" xfId="0" applyFont="1" applyFill="1" applyBorder="1" applyAlignment="1" applyProtection="1">
      <alignment wrapText="1"/>
      <protection hidden="1"/>
    </xf>
    <xf numFmtId="0" fontId="7" fillId="5" borderId="0" xfId="0" applyFont="1" applyFill="1" applyAlignment="1" applyProtection="1">
      <alignment horizontal="left" vertical="top"/>
      <protection hidden="1"/>
    </xf>
    <xf numFmtId="0" fontId="7" fillId="5" borderId="0" xfId="0" applyFont="1" applyFill="1" applyAlignment="1" applyProtection="1">
      <alignment vertical="top"/>
      <protection hidden="1"/>
    </xf>
    <xf numFmtId="0" fontId="11" fillId="5" borderId="0" xfId="0" applyFont="1" applyFill="1" applyAlignment="1" applyProtection="1">
      <alignment vertical="top"/>
      <protection hidden="1"/>
    </xf>
    <xf numFmtId="165" fontId="7" fillId="5" borderId="0" xfId="0" applyNumberFormat="1" applyFont="1" applyFill="1" applyAlignment="1" applyProtection="1">
      <alignment vertical="top"/>
      <protection hidden="1"/>
    </xf>
    <xf numFmtId="0" fontId="7" fillId="5" borderId="22" xfId="0" applyFont="1" applyFill="1" applyBorder="1" applyAlignment="1" applyProtection="1">
      <alignment vertical="top"/>
      <protection hidden="1"/>
    </xf>
    <xf numFmtId="1" fontId="49" fillId="18" borderId="1" xfId="0" applyNumberFormat="1" applyFont="1" applyFill="1" applyBorder="1" applyAlignment="1" applyProtection="1">
      <alignment horizontal="center"/>
      <protection hidden="1"/>
    </xf>
    <xf numFmtId="0" fontId="0" fillId="5" borderId="0" xfId="0" applyFill="1" applyAlignment="1" applyProtection="1">
      <alignment vertical="center"/>
      <protection hidden="1"/>
    </xf>
    <xf numFmtId="165" fontId="7" fillId="5" borderId="0" xfId="0" applyNumberFormat="1" applyFont="1" applyFill="1" applyAlignment="1" applyProtection="1">
      <alignment horizontal="center" vertical="center"/>
      <protection hidden="1"/>
    </xf>
    <xf numFmtId="0" fontId="7" fillId="27" borderId="1" xfId="0" applyFont="1" applyFill="1" applyBorder="1" applyAlignment="1" applyProtection="1">
      <alignment horizontal="center" vertical="center"/>
      <protection hidden="1"/>
    </xf>
    <xf numFmtId="0" fontId="7" fillId="27" borderId="1" xfId="0" applyFont="1" applyFill="1" applyBorder="1" applyAlignment="1" applyProtection="1">
      <alignment horizontal="center"/>
      <protection hidden="1"/>
    </xf>
    <xf numFmtId="2" fontId="7" fillId="5" borderId="1" xfId="0" applyNumberFormat="1" applyFont="1" applyFill="1" applyBorder="1" applyAlignment="1" applyProtection="1">
      <alignment horizontal="center"/>
      <protection hidden="1"/>
    </xf>
    <xf numFmtId="0" fontId="7" fillId="5" borderId="6" xfId="0" applyFont="1" applyFill="1" applyBorder="1" applyAlignment="1" applyProtection="1">
      <alignment horizontal="center" vertical="center"/>
      <protection hidden="1"/>
    </xf>
    <xf numFmtId="1" fontId="7" fillId="5" borderId="1" xfId="0" applyNumberFormat="1" applyFont="1" applyFill="1" applyBorder="1" applyAlignment="1" applyProtection="1">
      <alignment horizontal="right"/>
      <protection hidden="1"/>
    </xf>
    <xf numFmtId="0" fontId="7" fillId="5" borderId="0" xfId="0" applyFont="1" applyFill="1" applyAlignment="1" applyProtection="1">
      <alignment horizontal="center"/>
      <protection hidden="1"/>
    </xf>
    <xf numFmtId="0" fontId="56" fillId="19" borderId="0" xfId="0" applyFont="1" applyFill="1" applyAlignment="1">
      <alignment vertical="top" wrapText="1"/>
    </xf>
    <xf numFmtId="0" fontId="56" fillId="21" borderId="1" xfId="2" applyFont="1" applyFill="1" applyBorder="1" applyAlignment="1">
      <alignment vertical="top" wrapText="1"/>
    </xf>
    <xf numFmtId="0" fontId="61" fillId="19" borderId="0" xfId="0" applyFont="1" applyFill="1" applyAlignment="1">
      <alignment horizontal="left" vertical="top" wrapText="1"/>
    </xf>
    <xf numFmtId="0" fontId="56" fillId="21" borderId="0" xfId="2" applyFont="1" applyFill="1" applyAlignment="1">
      <alignment vertical="top" wrapText="1"/>
    </xf>
    <xf numFmtId="0" fontId="56" fillId="19" borderId="0" xfId="2" applyFont="1" applyFill="1" applyAlignment="1">
      <alignment vertical="top" wrapText="1"/>
    </xf>
    <xf numFmtId="0" fontId="62" fillId="19" borderId="6" xfId="2" applyFont="1" applyFill="1" applyBorder="1" applyAlignment="1">
      <alignment vertical="top" wrapText="1"/>
    </xf>
    <xf numFmtId="0" fontId="0" fillId="0" borderId="0" xfId="0" applyAlignment="1">
      <alignment vertical="top" wrapText="1"/>
    </xf>
    <xf numFmtId="0" fontId="0" fillId="21" borderId="1" xfId="0" applyFill="1" applyBorder="1" applyAlignment="1">
      <alignment vertical="top" wrapText="1"/>
    </xf>
    <xf numFmtId="0" fontId="0" fillId="5" borderId="0" xfId="0" applyFill="1" applyAlignment="1">
      <alignment vertical="top" wrapText="1"/>
    </xf>
    <xf numFmtId="0" fontId="0" fillId="21" borderId="0" xfId="0" applyFill="1" applyAlignment="1">
      <alignment vertical="top" wrapText="1"/>
    </xf>
    <xf numFmtId="0" fontId="63" fillId="0" borderId="0" xfId="0" applyFont="1" applyAlignment="1">
      <alignment horizontal="left" vertical="top" wrapText="1"/>
    </xf>
    <xf numFmtId="0" fontId="7" fillId="0" borderId="0" xfId="0" applyFont="1" applyAlignment="1">
      <alignment vertical="top" wrapText="1"/>
    </xf>
    <xf numFmtId="0" fontId="64" fillId="0" borderId="0" xfId="0" applyFont="1" applyAlignment="1">
      <alignment horizontal="left" vertical="top" wrapText="1"/>
    </xf>
    <xf numFmtId="0" fontId="65" fillId="0" borderId="0" xfId="0" applyFont="1" applyAlignment="1">
      <alignment vertical="top" wrapText="1"/>
    </xf>
    <xf numFmtId="0" fontId="1" fillId="21" borderId="0" xfId="12" applyFill="1" applyAlignment="1">
      <alignment vertical="top" wrapText="1"/>
    </xf>
    <xf numFmtId="0" fontId="1" fillId="5" borderId="0" xfId="12" applyFill="1" applyAlignment="1">
      <alignment vertical="top" wrapText="1"/>
    </xf>
    <xf numFmtId="0" fontId="1" fillId="21" borderId="1" xfId="12" applyFill="1" applyBorder="1" applyAlignment="1">
      <alignment vertical="top" wrapText="1"/>
    </xf>
    <xf numFmtId="0" fontId="1" fillId="0" borderId="0" xfId="12" applyAlignment="1">
      <alignment vertical="top" wrapText="1"/>
    </xf>
    <xf numFmtId="0" fontId="63" fillId="26" borderId="0" xfId="0" applyFont="1" applyFill="1" applyAlignment="1">
      <alignment horizontal="left" vertical="top" wrapText="1"/>
    </xf>
    <xf numFmtId="0" fontId="66" fillId="0" borderId="0" xfId="0" applyFont="1" applyAlignment="1">
      <alignment horizontal="left" vertical="top" wrapText="1"/>
    </xf>
    <xf numFmtId="0" fontId="0" fillId="3" borderId="0" xfId="0" applyFill="1" applyAlignment="1">
      <alignment vertical="top" wrapText="1"/>
    </xf>
    <xf numFmtId="0" fontId="0" fillId="3" borderId="1" xfId="0" applyFill="1" applyBorder="1" applyAlignment="1">
      <alignment vertical="top" wrapText="1"/>
    </xf>
    <xf numFmtId="0" fontId="1" fillId="0" borderId="0" xfId="4" applyAlignment="1">
      <alignment vertical="top" wrapText="1"/>
    </xf>
    <xf numFmtId="0" fontId="0" fillId="0" borderId="0" xfId="4" applyFont="1" applyAlignment="1">
      <alignment vertical="top" wrapText="1"/>
    </xf>
    <xf numFmtId="0" fontId="1" fillId="0" borderId="0" xfId="3" applyFont="1" applyAlignment="1" applyProtection="1">
      <alignment vertical="top" wrapText="1"/>
      <protection hidden="1"/>
    </xf>
    <xf numFmtId="0" fontId="1" fillId="0" borderId="0" xfId="9" applyFont="1" applyAlignment="1">
      <alignment vertical="top" wrapText="1"/>
    </xf>
    <xf numFmtId="165" fontId="7" fillId="5" borderId="1" xfId="0" applyNumberFormat="1" applyFont="1" applyFill="1" applyBorder="1" applyAlignment="1" applyProtection="1">
      <alignment horizontal="center" vertical="center"/>
      <protection hidden="1"/>
    </xf>
    <xf numFmtId="164" fontId="7" fillId="5" borderId="0" xfId="0" applyNumberFormat="1" applyFont="1" applyFill="1" applyProtection="1">
      <protection hidden="1"/>
    </xf>
    <xf numFmtId="167" fontId="67" fillId="5" borderId="0" xfId="3" applyNumberFormat="1" applyFont="1" applyFill="1" applyAlignment="1" applyProtection="1">
      <alignment horizontal="left" vertical="center"/>
      <protection hidden="1"/>
    </xf>
    <xf numFmtId="0" fontId="9" fillId="10" borderId="0" xfId="0" applyFont="1" applyFill="1" applyProtection="1">
      <protection hidden="1"/>
    </xf>
    <xf numFmtId="0" fontId="60" fillId="5" borderId="6" xfId="3" quotePrefix="1" applyFont="1" applyFill="1" applyBorder="1" applyAlignment="1" applyProtection="1">
      <alignment horizontal="center" vertical="center"/>
      <protection hidden="1"/>
    </xf>
    <xf numFmtId="0" fontId="0" fillId="5" borderId="1" xfId="0" applyFill="1" applyBorder="1" applyAlignment="1" applyProtection="1">
      <alignment horizontal="center" vertical="center"/>
      <protection hidden="1"/>
    </xf>
    <xf numFmtId="0" fontId="7" fillId="5" borderId="1" xfId="0" applyFont="1" applyFill="1" applyBorder="1" applyAlignment="1" applyProtection="1">
      <alignment horizontal="center" vertical="center" wrapText="1"/>
      <protection hidden="1"/>
    </xf>
    <xf numFmtId="0" fontId="50" fillId="21" borderId="1" xfId="0" applyFont="1" applyFill="1" applyBorder="1" applyAlignment="1" applyProtection="1">
      <alignment horizontal="center" vertical="center"/>
      <protection hidden="1"/>
    </xf>
    <xf numFmtId="0" fontId="7" fillId="5" borderId="4" xfId="0" applyFont="1" applyFill="1" applyBorder="1" applyAlignment="1" applyProtection="1">
      <alignment horizontal="center" vertical="center"/>
      <protection hidden="1"/>
    </xf>
    <xf numFmtId="165" fontId="7" fillId="5" borderId="4" xfId="0" applyNumberFormat="1" applyFont="1" applyFill="1" applyBorder="1" applyProtection="1">
      <protection hidden="1"/>
    </xf>
    <xf numFmtId="0" fontId="53" fillId="5" borderId="6" xfId="0" applyFont="1" applyFill="1" applyBorder="1" applyProtection="1">
      <protection hidden="1"/>
    </xf>
    <xf numFmtId="0" fontId="8" fillId="5" borderId="0" xfId="3" quotePrefix="1" applyFont="1" applyFill="1" applyAlignment="1" applyProtection="1">
      <alignment horizontal="center" vertical="center"/>
      <protection hidden="1"/>
    </xf>
    <xf numFmtId="44" fontId="8" fillId="5" borderId="0" xfId="7" applyFont="1" applyFill="1" applyBorder="1" applyAlignment="1" applyProtection="1">
      <alignment horizontal="center" vertical="center"/>
      <protection hidden="1"/>
    </xf>
    <xf numFmtId="0" fontId="7" fillId="5" borderId="0" xfId="0" applyFont="1" applyFill="1" applyAlignment="1" applyProtection="1">
      <alignment vertical="top" wrapText="1"/>
      <protection hidden="1"/>
    </xf>
    <xf numFmtId="0" fontId="35" fillId="12" borderId="2" xfId="0" applyFont="1" applyFill="1" applyBorder="1" applyProtection="1">
      <protection hidden="1"/>
    </xf>
    <xf numFmtId="165" fontId="53" fillId="5" borderId="2" xfId="0" applyNumberFormat="1" applyFont="1" applyFill="1" applyBorder="1" applyProtection="1">
      <protection hidden="1"/>
    </xf>
    <xf numFmtId="2" fontId="53" fillId="12" borderId="2" xfId="0" applyNumberFormat="1" applyFont="1" applyFill="1" applyBorder="1" applyAlignment="1" applyProtection="1">
      <alignment horizontal="center" vertical="center"/>
      <protection hidden="1"/>
    </xf>
    <xf numFmtId="0" fontId="53" fillId="12" borderId="8" xfId="0" applyFont="1" applyFill="1" applyBorder="1" applyAlignment="1" applyProtection="1">
      <alignment horizontal="center" vertical="center"/>
      <protection hidden="1"/>
    </xf>
    <xf numFmtId="2" fontId="53" fillId="5" borderId="2" xfId="0" applyNumberFormat="1" applyFont="1" applyFill="1" applyBorder="1" applyAlignment="1" applyProtection="1">
      <alignment horizontal="center" vertical="center"/>
      <protection hidden="1"/>
    </xf>
    <xf numFmtId="0" fontId="53" fillId="5" borderId="6" xfId="0" applyFont="1" applyFill="1" applyBorder="1" applyAlignment="1" applyProtection="1">
      <alignment horizontal="center" vertical="center"/>
      <protection hidden="1"/>
    </xf>
    <xf numFmtId="0" fontId="14" fillId="5" borderId="0" xfId="0" applyFont="1" applyFill="1" applyAlignment="1" applyProtection="1">
      <alignment wrapText="1"/>
      <protection hidden="1"/>
    </xf>
    <xf numFmtId="168" fontId="7" fillId="5" borderId="0" xfId="0" applyNumberFormat="1" applyFont="1" applyFill="1" applyProtection="1">
      <protection hidden="1"/>
    </xf>
    <xf numFmtId="0" fontId="53" fillId="12" borderId="0" xfId="0" applyFont="1" applyFill="1" applyAlignment="1" applyProtection="1">
      <alignment horizontal="center" vertical="center"/>
      <protection hidden="1"/>
    </xf>
    <xf numFmtId="171" fontId="53" fillId="12" borderId="0" xfId="11" applyNumberFormat="1" applyFont="1" applyFill="1" applyBorder="1" applyAlignment="1" applyProtection="1">
      <alignment vertical="center"/>
      <protection hidden="1"/>
    </xf>
    <xf numFmtId="2" fontId="11" fillId="5" borderId="12" xfId="0" applyNumberFormat="1" applyFont="1" applyFill="1" applyBorder="1" applyProtection="1">
      <protection hidden="1"/>
    </xf>
    <xf numFmtId="0" fontId="0" fillId="5" borderId="12" xfId="0" applyFill="1" applyBorder="1" applyProtection="1">
      <protection hidden="1"/>
    </xf>
    <xf numFmtId="0" fontId="7" fillId="5" borderId="12" xfId="0" applyFont="1" applyFill="1" applyBorder="1" applyAlignment="1" applyProtection="1">
      <alignment vertical="top"/>
      <protection hidden="1"/>
    </xf>
    <xf numFmtId="0" fontId="7" fillId="5" borderId="12" xfId="0" applyFont="1" applyFill="1" applyBorder="1" applyAlignment="1" applyProtection="1">
      <alignment wrapText="1"/>
      <protection hidden="1"/>
    </xf>
    <xf numFmtId="0" fontId="53" fillId="5" borderId="12" xfId="0" applyFont="1" applyFill="1" applyBorder="1" applyProtection="1">
      <protection hidden="1"/>
    </xf>
    <xf numFmtId="0" fontId="50" fillId="5" borderId="12" xfId="0" applyFont="1" applyFill="1" applyBorder="1" applyProtection="1">
      <protection hidden="1"/>
    </xf>
    <xf numFmtId="2" fontId="53" fillId="5" borderId="12" xfId="0" applyNumberFormat="1" applyFont="1" applyFill="1" applyBorder="1" applyProtection="1">
      <protection hidden="1"/>
    </xf>
    <xf numFmtId="0" fontId="7" fillId="3" borderId="1" xfId="0" applyFont="1" applyFill="1" applyBorder="1" applyProtection="1">
      <protection hidden="1"/>
    </xf>
    <xf numFmtId="0" fontId="7" fillId="5" borderId="2" xfId="0" applyFont="1" applyFill="1" applyBorder="1" applyProtection="1">
      <protection hidden="1"/>
    </xf>
    <xf numFmtId="2" fontId="35" fillId="18" borderId="1" xfId="3" applyNumberFormat="1" applyFont="1" applyFill="1" applyBorder="1" applyAlignment="1" applyProtection="1">
      <alignment horizontal="center" vertical="center"/>
      <protection hidden="1"/>
    </xf>
    <xf numFmtId="0" fontId="35" fillId="18" borderId="4" xfId="3" applyFont="1" applyFill="1" applyBorder="1" applyAlignment="1" applyProtection="1">
      <alignment horizontal="center" vertical="center"/>
      <protection hidden="1"/>
    </xf>
    <xf numFmtId="2" fontId="35" fillId="18" borderId="4" xfId="3" applyNumberFormat="1" applyFont="1" applyFill="1" applyBorder="1" applyAlignment="1" applyProtection="1">
      <alignment horizontal="center" vertical="center"/>
      <protection hidden="1"/>
    </xf>
    <xf numFmtId="2" fontId="53" fillId="18" borderId="1" xfId="0" applyNumberFormat="1" applyFont="1" applyFill="1" applyBorder="1" applyAlignment="1" applyProtection="1">
      <alignment horizontal="center" vertical="center"/>
      <protection hidden="1"/>
    </xf>
    <xf numFmtId="2" fontId="53" fillId="18" borderId="0" xfId="3" applyNumberFormat="1" applyFont="1" applyFill="1" applyAlignment="1" applyProtection="1">
      <alignment horizontal="center" vertical="center"/>
      <protection hidden="1"/>
    </xf>
    <xf numFmtId="2" fontId="53" fillId="18" borderId="0" xfId="0" applyNumberFormat="1" applyFont="1" applyFill="1" applyProtection="1">
      <protection hidden="1"/>
    </xf>
    <xf numFmtId="0" fontId="53" fillId="18" borderId="0" xfId="0" applyFont="1" applyFill="1" applyProtection="1">
      <protection hidden="1"/>
    </xf>
    <xf numFmtId="2" fontId="7" fillId="18" borderId="1" xfId="0" applyNumberFormat="1" applyFont="1" applyFill="1" applyBorder="1" applyProtection="1">
      <protection hidden="1"/>
    </xf>
    <xf numFmtId="1" fontId="7" fillId="5" borderId="1" xfId="0" applyNumberFormat="1" applyFont="1" applyFill="1" applyBorder="1" applyProtection="1">
      <protection hidden="1"/>
    </xf>
    <xf numFmtId="0" fontId="9" fillId="10" borderId="0" xfId="0" applyFont="1" applyFill="1" applyAlignment="1" applyProtection="1">
      <alignment horizontal="center" vertical="center"/>
      <protection hidden="1"/>
    </xf>
    <xf numFmtId="1" fontId="5" fillId="5" borderId="1" xfId="0" applyNumberFormat="1" applyFont="1" applyFill="1" applyBorder="1" applyAlignment="1" applyProtection="1">
      <alignment horizontal="center" vertical="center"/>
      <protection hidden="1"/>
    </xf>
    <xf numFmtId="0" fontId="5" fillId="5" borderId="1" xfId="0" applyFont="1" applyFill="1" applyBorder="1" applyAlignment="1" applyProtection="1">
      <alignment horizontal="center" vertical="center"/>
      <protection hidden="1"/>
    </xf>
    <xf numFmtId="14" fontId="0" fillId="9" borderId="1" xfId="0" applyNumberFormat="1" applyFill="1" applyBorder="1" applyAlignment="1" applyProtection="1">
      <alignment horizontal="center"/>
      <protection locked="0" hidden="1"/>
    </xf>
    <xf numFmtId="0" fontId="0" fillId="9" borderId="1" xfId="0" applyFill="1" applyBorder="1" applyAlignment="1" applyProtection="1">
      <alignment horizontal="center"/>
      <protection locked="0" hidden="1"/>
    </xf>
    <xf numFmtId="0" fontId="50" fillId="19" borderId="8" xfId="9" applyFont="1" applyFill="1" applyBorder="1" applyAlignment="1" applyProtection="1">
      <alignment horizontal="center" vertical="center" wrapText="1"/>
      <protection hidden="1"/>
    </xf>
    <xf numFmtId="0" fontId="50" fillId="19" borderId="25" xfId="9" applyFont="1" applyFill="1" applyBorder="1" applyAlignment="1" applyProtection="1">
      <alignment horizontal="center" vertical="center" wrapText="1"/>
      <protection hidden="1"/>
    </xf>
    <xf numFmtId="0" fontId="50" fillId="19" borderId="12" xfId="9" applyFont="1" applyFill="1" applyBorder="1" applyAlignment="1" applyProtection="1">
      <alignment horizontal="center" vertical="center" wrapText="1"/>
      <protection hidden="1"/>
    </xf>
    <xf numFmtId="0" fontId="50" fillId="19" borderId="22" xfId="9" applyFont="1" applyFill="1" applyBorder="1" applyAlignment="1" applyProtection="1">
      <alignment horizontal="center" vertical="center" wrapText="1"/>
      <protection hidden="1"/>
    </xf>
    <xf numFmtId="0" fontId="50" fillId="19" borderId="5" xfId="9" applyFont="1" applyFill="1" applyBorder="1" applyAlignment="1" applyProtection="1">
      <alignment horizontal="center" vertical="center" wrapText="1"/>
      <protection hidden="1"/>
    </xf>
    <xf numFmtId="0" fontId="50" fillId="19" borderId="24" xfId="9" applyFont="1" applyFill="1" applyBorder="1" applyAlignment="1" applyProtection="1">
      <alignment horizontal="center" vertical="center" wrapText="1"/>
      <protection hidden="1"/>
    </xf>
    <xf numFmtId="0" fontId="50" fillId="19" borderId="2" xfId="9" applyFont="1" applyFill="1" applyBorder="1" applyAlignment="1" applyProtection="1">
      <alignment horizontal="center" vertical="center"/>
      <protection hidden="1"/>
    </xf>
    <xf numFmtId="0" fontId="50" fillId="19" borderId="6" xfId="9" applyFont="1" applyFill="1" applyBorder="1" applyAlignment="1" applyProtection="1">
      <alignment horizontal="center" vertical="center"/>
      <protection hidden="1"/>
    </xf>
    <xf numFmtId="0" fontId="50" fillId="19" borderId="1" xfId="9" applyFont="1" applyFill="1" applyBorder="1" applyAlignment="1" applyProtection="1">
      <alignment horizontal="center" vertical="center"/>
      <protection hidden="1"/>
    </xf>
    <xf numFmtId="0" fontId="50" fillId="19" borderId="1" xfId="9" applyFont="1" applyFill="1" applyBorder="1" applyAlignment="1" applyProtection="1">
      <alignment horizontal="center" vertical="center" shrinkToFit="1"/>
      <protection hidden="1"/>
    </xf>
    <xf numFmtId="0" fontId="16" fillId="10" borderId="2" xfId="0" applyFont="1" applyFill="1" applyBorder="1" applyAlignment="1" applyProtection="1">
      <alignment horizontal="center" vertical="center"/>
      <protection locked="0" hidden="1"/>
    </xf>
    <xf numFmtId="0" fontId="16" fillId="10" borderId="6" xfId="0" applyFont="1" applyFill="1" applyBorder="1" applyAlignment="1" applyProtection="1">
      <alignment horizontal="center" vertical="center"/>
      <protection locked="0" hidden="1"/>
    </xf>
    <xf numFmtId="0" fontId="7" fillId="7" borderId="2" xfId="0" applyFont="1" applyFill="1" applyBorder="1" applyAlignment="1" applyProtection="1">
      <alignment horizontal="right" vertical="center" shrinkToFit="1"/>
      <protection hidden="1"/>
    </xf>
    <xf numFmtId="0" fontId="7" fillId="7" borderId="6" xfId="0" applyFont="1" applyFill="1" applyBorder="1" applyAlignment="1" applyProtection="1">
      <alignment horizontal="right" vertical="center" shrinkToFit="1"/>
      <protection hidden="1"/>
    </xf>
    <xf numFmtId="0" fontId="9" fillId="9" borderId="1" xfId="3" applyFont="1" applyFill="1" applyBorder="1" applyAlignment="1" applyProtection="1">
      <alignment horizontal="center" vertical="center"/>
      <protection locked="0" hidden="1"/>
    </xf>
    <xf numFmtId="2" fontId="17" fillId="28" borderId="2" xfId="0" applyNumberFormat="1" applyFont="1" applyFill="1" applyBorder="1" applyAlignment="1" applyProtection="1">
      <alignment horizontal="center" vertical="center"/>
      <protection locked="0" hidden="1"/>
    </xf>
    <xf numFmtId="2" fontId="17" fillId="28" borderId="6" xfId="0" applyNumberFormat="1" applyFont="1" applyFill="1" applyBorder="1" applyAlignment="1" applyProtection="1">
      <alignment horizontal="center" vertical="center"/>
      <protection locked="0" hidden="1"/>
    </xf>
    <xf numFmtId="0" fontId="9" fillId="9" borderId="2" xfId="0" applyFont="1" applyFill="1" applyBorder="1" applyAlignment="1" applyProtection="1">
      <alignment horizontal="center" vertical="center"/>
      <protection locked="0" hidden="1"/>
    </xf>
    <xf numFmtId="0" fontId="9" fillId="9" borderId="6" xfId="0" applyFont="1" applyFill="1" applyBorder="1" applyAlignment="1" applyProtection="1">
      <alignment horizontal="center" vertical="center"/>
      <protection locked="0" hidden="1"/>
    </xf>
    <xf numFmtId="0" fontId="7" fillId="5" borderId="9" xfId="0" applyFont="1" applyFill="1" applyBorder="1" applyAlignment="1" applyProtection="1">
      <alignment horizontal="center"/>
      <protection hidden="1"/>
    </xf>
    <xf numFmtId="0" fontId="7" fillId="5" borderId="0" xfId="0" applyFont="1" applyFill="1" applyAlignment="1" applyProtection="1">
      <alignment horizontal="center" vertical="center"/>
      <protection hidden="1"/>
    </xf>
    <xf numFmtId="2" fontId="5" fillId="5" borderId="8" xfId="0" applyNumberFormat="1" applyFont="1" applyFill="1" applyBorder="1" applyAlignment="1" applyProtection="1">
      <alignment horizontal="center" vertical="center"/>
      <protection hidden="1"/>
    </xf>
    <xf numFmtId="2" fontId="5" fillId="5" borderId="25" xfId="0" applyNumberFormat="1" applyFont="1" applyFill="1" applyBorder="1" applyAlignment="1" applyProtection="1">
      <alignment horizontal="center" vertical="center"/>
      <protection hidden="1"/>
    </xf>
    <xf numFmtId="2" fontId="5" fillId="5" borderId="5" xfId="0" applyNumberFormat="1" applyFont="1" applyFill="1" applyBorder="1" applyAlignment="1" applyProtection="1">
      <alignment horizontal="center" vertical="center"/>
      <protection hidden="1"/>
    </xf>
    <xf numFmtId="2" fontId="5" fillId="5" borderId="24" xfId="0" applyNumberFormat="1" applyFont="1" applyFill="1" applyBorder="1" applyAlignment="1" applyProtection="1">
      <alignment horizontal="center" vertical="center"/>
      <protection hidden="1"/>
    </xf>
    <xf numFmtId="0" fontId="0" fillId="10" borderId="2" xfId="0" applyFill="1" applyBorder="1" applyAlignment="1" applyProtection="1">
      <alignment horizontal="center" vertical="center"/>
      <protection hidden="1"/>
    </xf>
    <xf numFmtId="0" fontId="0" fillId="10" borderId="6" xfId="0" applyFill="1" applyBorder="1" applyAlignment="1" applyProtection="1">
      <alignment horizontal="center" vertical="center"/>
      <protection hidden="1"/>
    </xf>
    <xf numFmtId="2" fontId="55" fillId="18" borderId="6" xfId="0" applyNumberFormat="1" applyFont="1" applyFill="1" applyBorder="1" applyAlignment="1" applyProtection="1">
      <alignment horizontal="center" vertical="center"/>
      <protection hidden="1"/>
    </xf>
    <xf numFmtId="2" fontId="55" fillId="18" borderId="1" xfId="0" applyNumberFormat="1" applyFont="1" applyFill="1" applyBorder="1" applyAlignment="1" applyProtection="1">
      <alignment horizontal="center" vertical="center"/>
      <protection hidden="1"/>
    </xf>
    <xf numFmtId="0" fontId="7" fillId="27" borderId="1" xfId="0" applyFont="1" applyFill="1" applyBorder="1" applyAlignment="1" applyProtection="1">
      <alignment horizontal="center" vertical="center"/>
      <protection hidden="1"/>
    </xf>
    <xf numFmtId="0" fontId="7" fillId="27" borderId="2" xfId="0" applyFont="1" applyFill="1" applyBorder="1" applyAlignment="1" applyProtection="1">
      <alignment horizontal="center" vertical="center"/>
      <protection hidden="1"/>
    </xf>
    <xf numFmtId="0" fontId="15" fillId="5" borderId="2" xfId="0" applyFont="1" applyFill="1" applyBorder="1" applyAlignment="1" applyProtection="1">
      <alignment horizontal="center" vertical="center"/>
      <protection locked="0" hidden="1"/>
    </xf>
    <xf numFmtId="0" fontId="15" fillId="5" borderId="6" xfId="0" applyFont="1" applyFill="1" applyBorder="1" applyAlignment="1" applyProtection="1">
      <alignment horizontal="center" vertical="center"/>
      <protection locked="0" hidden="1"/>
    </xf>
    <xf numFmtId="0" fontId="2" fillId="7" borderId="5" xfId="3" applyFont="1" applyFill="1" applyBorder="1" applyAlignment="1" applyProtection="1">
      <alignment horizontal="center" vertical="center"/>
      <protection hidden="1"/>
    </xf>
    <xf numFmtId="0" fontId="2" fillId="7" borderId="9" xfId="3" applyFont="1" applyFill="1" applyBorder="1" applyAlignment="1" applyProtection="1">
      <alignment horizontal="center" vertical="center"/>
      <protection hidden="1"/>
    </xf>
    <xf numFmtId="0" fontId="2" fillId="7" borderId="24" xfId="3" applyFont="1" applyFill="1" applyBorder="1" applyAlignment="1" applyProtection="1">
      <alignment horizontal="center" vertical="center"/>
      <protection hidden="1"/>
    </xf>
    <xf numFmtId="0" fontId="2" fillId="0" borderId="1" xfId="9" applyFont="1" applyBorder="1" applyAlignment="1" applyProtection="1">
      <alignment horizontal="center" vertical="center"/>
      <protection hidden="1"/>
    </xf>
    <xf numFmtId="0" fontId="48" fillId="10" borderId="1" xfId="9" applyFont="1" applyFill="1" applyBorder="1" applyAlignment="1" applyProtection="1">
      <alignment horizontal="center" vertical="center"/>
      <protection hidden="1"/>
    </xf>
    <xf numFmtId="2" fontId="13" fillId="5" borderId="2" xfId="0" applyNumberFormat="1" applyFont="1" applyFill="1" applyBorder="1" applyAlignment="1" applyProtection="1">
      <alignment horizontal="center" vertical="center"/>
      <protection hidden="1"/>
    </xf>
    <xf numFmtId="2" fontId="13" fillId="5" borderId="6" xfId="0" applyNumberFormat="1" applyFont="1" applyFill="1" applyBorder="1" applyAlignment="1" applyProtection="1">
      <alignment horizontal="center" vertical="center"/>
      <protection hidden="1"/>
    </xf>
    <xf numFmtId="168" fontId="7" fillId="0" borderId="2" xfId="9" applyNumberFormat="1" applyFont="1" applyBorder="1" applyAlignment="1" applyProtection="1">
      <alignment horizontal="center" vertical="center" wrapText="1"/>
      <protection hidden="1"/>
    </xf>
    <xf numFmtId="168" fontId="7" fillId="0" borderId="6" xfId="9" applyNumberFormat="1" applyFont="1" applyBorder="1" applyAlignment="1" applyProtection="1">
      <alignment horizontal="center" vertical="center" wrapText="1"/>
      <protection hidden="1"/>
    </xf>
    <xf numFmtId="0" fontId="68" fillId="10" borderId="57" xfId="3" applyFont="1" applyFill="1" applyBorder="1" applyAlignment="1" applyProtection="1">
      <alignment horizontal="center" vertical="center" wrapText="1" shrinkToFit="1"/>
      <protection hidden="1"/>
    </xf>
    <xf numFmtId="0" fontId="68" fillId="10" borderId="4" xfId="3" applyFont="1" applyFill="1" applyBorder="1" applyAlignment="1" applyProtection="1">
      <alignment horizontal="center" vertical="center" wrapText="1" shrinkToFit="1"/>
      <protection hidden="1"/>
    </xf>
    <xf numFmtId="0" fontId="68" fillId="10" borderId="25" xfId="3" applyFont="1" applyFill="1" applyBorder="1" applyAlignment="1" applyProtection="1">
      <alignment horizontal="center" vertical="center" wrapText="1" shrinkToFit="1"/>
      <protection hidden="1"/>
    </xf>
    <xf numFmtId="0" fontId="68" fillId="10" borderId="24" xfId="3" applyFont="1" applyFill="1" applyBorder="1" applyAlignment="1" applyProtection="1">
      <alignment horizontal="center" vertical="center" wrapText="1" shrinkToFit="1"/>
      <protection hidden="1"/>
    </xf>
    <xf numFmtId="0" fontId="48" fillId="10" borderId="2" xfId="9" applyFont="1" applyFill="1" applyBorder="1" applyAlignment="1" applyProtection="1">
      <alignment horizontal="center" vertical="center"/>
      <protection hidden="1"/>
    </xf>
    <xf numFmtId="0" fontId="48" fillId="10" borderId="3" xfId="9" applyFont="1" applyFill="1" applyBorder="1" applyAlignment="1" applyProtection="1">
      <alignment horizontal="center" vertical="center"/>
      <protection hidden="1"/>
    </xf>
    <xf numFmtId="0" fontId="48" fillId="10" borderId="6" xfId="9" applyFont="1" applyFill="1" applyBorder="1" applyAlignment="1" applyProtection="1">
      <alignment horizontal="center" vertical="center"/>
      <protection hidden="1"/>
    </xf>
    <xf numFmtId="0" fontId="28" fillId="19" borderId="1" xfId="9" applyFont="1" applyFill="1" applyBorder="1" applyAlignment="1" applyProtection="1">
      <alignment horizontal="center" vertical="center"/>
      <protection hidden="1"/>
    </xf>
    <xf numFmtId="0" fontId="5" fillId="8" borderId="1" xfId="0" applyFont="1" applyFill="1" applyBorder="1" applyAlignment="1" applyProtection="1">
      <alignment horizontal="center" vertical="center"/>
      <protection hidden="1"/>
    </xf>
    <xf numFmtId="0" fontId="50" fillId="19" borderId="1" xfId="9" applyFont="1" applyFill="1" applyBorder="1" applyAlignment="1" applyProtection="1">
      <alignment horizontal="center" vertical="center" wrapText="1"/>
      <protection hidden="1"/>
    </xf>
    <xf numFmtId="0" fontId="59" fillId="5" borderId="0" xfId="3" quotePrefix="1" applyFont="1" applyFill="1" applyAlignment="1" applyProtection="1">
      <alignment horizontal="center" vertical="center" wrapText="1" shrinkToFit="1"/>
      <protection hidden="1"/>
    </xf>
    <xf numFmtId="0" fontId="59" fillId="5" borderId="9" xfId="3" quotePrefix="1" applyFont="1" applyFill="1" applyBorder="1" applyAlignment="1" applyProtection="1">
      <alignment horizontal="center" vertical="center" wrapText="1" shrinkToFit="1"/>
      <protection hidden="1"/>
    </xf>
    <xf numFmtId="0" fontId="35" fillId="0" borderId="1" xfId="3" applyFont="1" applyBorder="1" applyAlignment="1" applyProtection="1">
      <alignment horizontal="center" vertical="center"/>
      <protection hidden="1"/>
    </xf>
    <xf numFmtId="0" fontId="7" fillId="7" borderId="1" xfId="0" applyFont="1" applyFill="1" applyBorder="1" applyAlignment="1" applyProtection="1">
      <alignment horizontal="center" vertical="center" shrinkToFit="1"/>
      <protection hidden="1"/>
    </xf>
    <xf numFmtId="0" fontId="7" fillId="7" borderId="2" xfId="0" applyFont="1" applyFill="1" applyBorder="1" applyAlignment="1" applyProtection="1">
      <alignment horizontal="right" vertical="center"/>
      <protection hidden="1"/>
    </xf>
    <xf numFmtId="0" fontId="7" fillId="7" borderId="3" xfId="0" applyFont="1" applyFill="1" applyBorder="1" applyAlignment="1" applyProtection="1">
      <alignment horizontal="right" vertical="center"/>
      <protection hidden="1"/>
    </xf>
    <xf numFmtId="0" fontId="7" fillId="7" borderId="6" xfId="0" applyFont="1" applyFill="1" applyBorder="1" applyAlignment="1" applyProtection="1">
      <alignment horizontal="right" vertical="center"/>
      <protection hidden="1"/>
    </xf>
    <xf numFmtId="0" fontId="7" fillId="7" borderId="2" xfId="0" applyFont="1" applyFill="1" applyBorder="1" applyAlignment="1" applyProtection="1">
      <alignment horizontal="center" vertical="center"/>
      <protection hidden="1"/>
    </xf>
    <xf numFmtId="0" fontId="7" fillId="7" borderId="3" xfId="0" applyFont="1" applyFill="1" applyBorder="1" applyAlignment="1" applyProtection="1">
      <alignment horizontal="center" vertical="center"/>
      <protection hidden="1"/>
    </xf>
    <xf numFmtId="0" fontId="7" fillId="7" borderId="6" xfId="0" applyFont="1" applyFill="1" applyBorder="1" applyAlignment="1" applyProtection="1">
      <alignment horizontal="center" vertical="center"/>
      <protection hidden="1"/>
    </xf>
    <xf numFmtId="0" fontId="7" fillId="7" borderId="3" xfId="0" applyFont="1" applyFill="1" applyBorder="1" applyAlignment="1" applyProtection="1">
      <alignment horizontal="right" vertical="center" shrinkToFit="1"/>
      <protection hidden="1"/>
    </xf>
    <xf numFmtId="2" fontId="56" fillId="18" borderId="3" xfId="0" applyNumberFormat="1" applyFont="1" applyFill="1" applyBorder="1" applyAlignment="1" applyProtection="1">
      <alignment horizontal="center" vertical="center"/>
      <protection hidden="1"/>
    </xf>
    <xf numFmtId="2" fontId="56" fillId="18" borderId="6" xfId="0" applyNumberFormat="1" applyFont="1" applyFill="1" applyBorder="1" applyAlignment="1" applyProtection="1">
      <alignment horizontal="center" vertical="center"/>
      <protection hidden="1"/>
    </xf>
    <xf numFmtId="2" fontId="56" fillId="18" borderId="1" xfId="0" applyNumberFormat="1" applyFont="1" applyFill="1" applyBorder="1" applyAlignment="1" applyProtection="1">
      <alignment horizontal="center" vertical="center"/>
      <protection hidden="1"/>
    </xf>
    <xf numFmtId="2" fontId="42" fillId="5" borderId="7" xfId="0" applyNumberFormat="1" applyFont="1" applyFill="1" applyBorder="1" applyAlignment="1" applyProtection="1">
      <alignment horizontal="center" vertical="center"/>
      <protection hidden="1"/>
    </xf>
    <xf numFmtId="2" fontId="42" fillId="5" borderId="4" xfId="0" applyNumberFormat="1" applyFont="1" applyFill="1" applyBorder="1" applyAlignment="1" applyProtection="1">
      <alignment horizontal="center" vertical="center"/>
      <protection hidden="1"/>
    </xf>
    <xf numFmtId="2" fontId="52" fillId="5" borderId="7" xfId="0" applyNumberFormat="1" applyFont="1" applyFill="1" applyBorder="1" applyAlignment="1" applyProtection="1">
      <alignment horizontal="center" vertical="center"/>
      <protection hidden="1"/>
    </xf>
    <xf numFmtId="2" fontId="52" fillId="5" borderId="4" xfId="0" applyNumberFormat="1" applyFont="1" applyFill="1" applyBorder="1" applyAlignment="1" applyProtection="1">
      <alignment horizontal="center" vertical="center"/>
      <protection hidden="1"/>
    </xf>
    <xf numFmtId="0" fontId="7" fillId="7" borderId="2" xfId="0" applyFont="1" applyFill="1" applyBorder="1" applyAlignment="1" applyProtection="1">
      <alignment horizontal="center" vertical="center" shrinkToFit="1"/>
      <protection hidden="1"/>
    </xf>
    <xf numFmtId="0" fontId="7" fillId="7" borderId="3" xfId="0" applyFont="1" applyFill="1" applyBorder="1" applyAlignment="1" applyProtection="1">
      <alignment horizontal="center" vertical="center" shrinkToFit="1"/>
      <protection hidden="1"/>
    </xf>
    <xf numFmtId="0" fontId="7" fillId="7" borderId="6" xfId="0" applyFont="1" applyFill="1" applyBorder="1" applyAlignment="1" applyProtection="1">
      <alignment horizontal="center" vertical="center" shrinkToFit="1"/>
      <protection hidden="1"/>
    </xf>
    <xf numFmtId="2" fontId="56" fillId="18" borderId="2" xfId="0" applyNumberFormat="1" applyFont="1" applyFill="1" applyBorder="1" applyAlignment="1" applyProtection="1">
      <alignment horizontal="center" vertical="center"/>
      <protection hidden="1"/>
    </xf>
    <xf numFmtId="0" fontId="10" fillId="10" borderId="8" xfId="3" applyFont="1" applyFill="1" applyBorder="1" applyAlignment="1" applyProtection="1">
      <alignment horizontal="center" vertical="center" shrinkToFit="1"/>
      <protection hidden="1"/>
    </xf>
    <xf numFmtId="0" fontId="10" fillId="10" borderId="25" xfId="3" applyFont="1" applyFill="1" applyBorder="1" applyAlignment="1" applyProtection="1">
      <alignment horizontal="center" vertical="center" shrinkToFit="1"/>
      <protection hidden="1"/>
    </xf>
    <xf numFmtId="0" fontId="12" fillId="10" borderId="12" xfId="3" applyFont="1" applyFill="1" applyBorder="1" applyAlignment="1" applyProtection="1">
      <alignment horizontal="center" vertical="center" shrinkToFit="1"/>
      <protection hidden="1"/>
    </xf>
    <xf numFmtId="0" fontId="12" fillId="10" borderId="22" xfId="3" applyFont="1" applyFill="1" applyBorder="1" applyAlignment="1" applyProtection="1">
      <alignment horizontal="center" vertical="center" shrinkToFit="1"/>
      <protection hidden="1"/>
    </xf>
    <xf numFmtId="0" fontId="15" fillId="9" borderId="2" xfId="0" applyFont="1" applyFill="1" applyBorder="1" applyAlignment="1" applyProtection="1">
      <alignment horizontal="center" vertical="center"/>
      <protection locked="0" hidden="1"/>
    </xf>
    <xf numFmtId="0" fontId="15" fillId="9" borderId="3" xfId="0" applyFont="1" applyFill="1" applyBorder="1" applyAlignment="1" applyProtection="1">
      <alignment horizontal="center" vertical="center"/>
      <protection locked="0" hidden="1"/>
    </xf>
    <xf numFmtId="0" fontId="10" fillId="10" borderId="5" xfId="3" applyFont="1" applyFill="1" applyBorder="1" applyAlignment="1" applyProtection="1">
      <alignment horizontal="center" vertical="center" shrinkToFit="1"/>
      <protection hidden="1"/>
    </xf>
    <xf numFmtId="0" fontId="10" fillId="10" borderId="9" xfId="3" applyFont="1" applyFill="1" applyBorder="1" applyAlignment="1" applyProtection="1">
      <alignment horizontal="center" vertical="center" shrinkToFit="1"/>
      <protection hidden="1"/>
    </xf>
    <xf numFmtId="0" fontId="10" fillId="10" borderId="7" xfId="3" applyFont="1" applyFill="1" applyBorder="1" applyAlignment="1" applyProtection="1">
      <alignment horizontal="center" vertical="center" wrapText="1" shrinkToFit="1"/>
      <protection hidden="1"/>
    </xf>
    <xf numFmtId="0" fontId="10" fillId="10" borderId="4" xfId="3" applyFont="1" applyFill="1" applyBorder="1" applyAlignment="1" applyProtection="1">
      <alignment horizontal="center" vertical="center" wrapText="1" shrinkToFit="1"/>
      <protection hidden="1"/>
    </xf>
    <xf numFmtId="0" fontId="10" fillId="10" borderId="2" xfId="3" applyFont="1" applyFill="1" applyBorder="1" applyAlignment="1" applyProtection="1">
      <alignment horizontal="center" vertical="center" shrinkToFit="1"/>
      <protection hidden="1"/>
    </xf>
    <xf numFmtId="0" fontId="10" fillId="10" borderId="6" xfId="3" applyFont="1" applyFill="1" applyBorder="1" applyAlignment="1" applyProtection="1">
      <alignment horizontal="center" vertical="center" shrinkToFit="1"/>
      <protection hidden="1"/>
    </xf>
    <xf numFmtId="0" fontId="35" fillId="0" borderId="1" xfId="3" applyFont="1" applyBorder="1" applyAlignment="1" applyProtection="1">
      <alignment horizontal="center"/>
      <protection hidden="1"/>
    </xf>
    <xf numFmtId="0" fontId="10" fillId="10" borderId="8" xfId="3" applyFont="1" applyFill="1" applyBorder="1" applyAlignment="1" applyProtection="1">
      <alignment horizontal="center" vertical="center" wrapText="1" shrinkToFit="1"/>
      <protection hidden="1"/>
    </xf>
    <xf numFmtId="0" fontId="10" fillId="10" borderId="25" xfId="3" applyFont="1" applyFill="1" applyBorder="1" applyAlignment="1" applyProtection="1">
      <alignment horizontal="center" vertical="center" wrapText="1" shrinkToFit="1"/>
      <protection hidden="1"/>
    </xf>
    <xf numFmtId="0" fontId="10" fillId="10" borderId="5" xfId="3" applyFont="1" applyFill="1" applyBorder="1" applyAlignment="1" applyProtection="1">
      <alignment horizontal="center" vertical="center" wrapText="1" shrinkToFit="1"/>
      <protection hidden="1"/>
    </xf>
    <xf numFmtId="0" fontId="10" fillId="10" borderId="24" xfId="3" applyFont="1" applyFill="1" applyBorder="1" applyAlignment="1" applyProtection="1">
      <alignment horizontal="center" vertical="center" wrapText="1" shrinkToFit="1"/>
      <protection hidden="1"/>
    </xf>
    <xf numFmtId="0" fontId="54" fillId="0" borderId="17" xfId="3" applyFont="1" applyBorder="1" applyAlignment="1" applyProtection="1">
      <alignment horizontal="center"/>
      <protection hidden="1"/>
    </xf>
    <xf numFmtId="0" fontId="35" fillId="0" borderId="4" xfId="3" applyFont="1" applyBorder="1" applyAlignment="1" applyProtection="1">
      <alignment horizontal="center" vertical="center"/>
      <protection hidden="1"/>
    </xf>
    <xf numFmtId="0" fontId="53" fillId="5" borderId="3" xfId="0" applyFont="1" applyFill="1" applyBorder="1" applyAlignment="1" applyProtection="1">
      <alignment horizontal="center"/>
      <protection hidden="1"/>
    </xf>
    <xf numFmtId="0" fontId="53" fillId="5" borderId="6" xfId="0" applyFont="1" applyFill="1" applyBorder="1" applyAlignment="1" applyProtection="1">
      <alignment horizontal="center"/>
      <protection hidden="1"/>
    </xf>
    <xf numFmtId="0" fontId="18" fillId="5" borderId="0" xfId="0" applyFont="1" applyFill="1" applyAlignment="1" applyProtection="1">
      <alignment horizontal="center"/>
      <protection hidden="1"/>
    </xf>
    <xf numFmtId="14" fontId="49" fillId="18" borderId="1" xfId="0" applyNumberFormat="1" applyFont="1" applyFill="1" applyBorder="1" applyAlignment="1" applyProtection="1">
      <alignment horizontal="center" vertical="center"/>
      <protection hidden="1"/>
    </xf>
    <xf numFmtId="0" fontId="49" fillId="18" borderId="1" xfId="0" applyFont="1" applyFill="1" applyBorder="1" applyAlignment="1" applyProtection="1">
      <alignment horizontal="center" vertical="center"/>
      <protection hidden="1"/>
    </xf>
    <xf numFmtId="0" fontId="7" fillId="7" borderId="1" xfId="0" applyFont="1" applyFill="1" applyBorder="1" applyAlignment="1" applyProtection="1">
      <alignment horizontal="right" vertical="center" shrinkToFit="1"/>
      <protection hidden="1"/>
    </xf>
    <xf numFmtId="0" fontId="5" fillId="11" borderId="1" xfId="0" applyFont="1" applyFill="1" applyBorder="1" applyAlignment="1" applyProtection="1">
      <alignment horizontal="center" vertical="center"/>
      <protection locked="0" hidden="1"/>
    </xf>
    <xf numFmtId="0" fontId="7" fillId="7" borderId="1" xfId="0" applyFont="1" applyFill="1" applyBorder="1" applyAlignment="1" applyProtection="1">
      <alignment horizontal="center" vertical="center"/>
      <protection hidden="1"/>
    </xf>
    <xf numFmtId="0" fontId="7" fillId="5" borderId="0" xfId="0" applyFont="1" applyFill="1" applyAlignment="1" applyProtection="1">
      <alignment horizontal="left" vertical="top" wrapText="1"/>
      <protection hidden="1"/>
    </xf>
    <xf numFmtId="0" fontId="12" fillId="5" borderId="0" xfId="3" applyFont="1" applyFill="1" applyAlignment="1" applyProtection="1">
      <alignment horizontal="center"/>
      <protection hidden="1"/>
    </xf>
    <xf numFmtId="0" fontId="44" fillId="0" borderId="48" xfId="3" applyFont="1" applyBorder="1" applyAlignment="1" applyProtection="1">
      <alignment horizontal="center" vertical="center" wrapText="1"/>
      <protection hidden="1"/>
    </xf>
    <xf numFmtId="0" fontId="12" fillId="0" borderId="0" xfId="3" applyFont="1" applyAlignment="1" applyProtection="1">
      <alignment horizontal="center"/>
      <protection hidden="1"/>
    </xf>
    <xf numFmtId="0" fontId="39" fillId="0" borderId="0" xfId="3" applyFont="1" applyAlignment="1" applyProtection="1">
      <alignment horizontal="center" vertical="center"/>
      <protection hidden="1"/>
    </xf>
    <xf numFmtId="0" fontId="38" fillId="0" borderId="0" xfId="3" applyFont="1" applyAlignment="1" applyProtection="1">
      <alignment horizontal="center" vertical="center"/>
      <protection hidden="1"/>
    </xf>
    <xf numFmtId="0" fontId="40" fillId="0" borderId="0" xfId="3" applyFont="1" applyAlignment="1" applyProtection="1">
      <alignment horizontal="center" vertical="center"/>
      <protection hidden="1"/>
    </xf>
    <xf numFmtId="0" fontId="2" fillId="7" borderId="2" xfId="9" applyFont="1" applyFill="1" applyBorder="1" applyAlignment="1">
      <alignment horizontal="center" vertical="center" wrapText="1"/>
    </xf>
    <xf numFmtId="0" fontId="2" fillId="7" borderId="3" xfId="9" applyFont="1" applyFill="1" applyBorder="1" applyAlignment="1">
      <alignment horizontal="center" vertical="center" wrapText="1"/>
    </xf>
    <xf numFmtId="0" fontId="2" fillId="7" borderId="6" xfId="9" applyFont="1" applyFill="1" applyBorder="1" applyAlignment="1">
      <alignment horizontal="center" vertical="center" wrapText="1"/>
    </xf>
    <xf numFmtId="0" fontId="2" fillId="7" borderId="35" xfId="9" applyFont="1" applyFill="1" applyBorder="1" applyAlignment="1">
      <alignment horizontal="center" vertical="center"/>
    </xf>
    <xf numFmtId="0" fontId="2" fillId="7" borderId="46" xfId="9" applyFont="1" applyFill="1" applyBorder="1" applyAlignment="1">
      <alignment horizontal="center" vertical="center"/>
    </xf>
    <xf numFmtId="0" fontId="2" fillId="7" borderId="54" xfId="3" applyFont="1" applyFill="1" applyBorder="1" applyAlignment="1" applyProtection="1">
      <alignment horizontal="center" vertical="center"/>
      <protection hidden="1"/>
    </xf>
    <xf numFmtId="0" fontId="2" fillId="7" borderId="55" xfId="3" applyFont="1" applyFill="1" applyBorder="1" applyAlignment="1" applyProtection="1">
      <alignment horizontal="center" vertical="center"/>
      <protection hidden="1"/>
    </xf>
    <xf numFmtId="0" fontId="43" fillId="5" borderId="0" xfId="3" applyFont="1" applyFill="1" applyAlignment="1" applyProtection="1">
      <alignment horizontal="center" wrapText="1"/>
      <protection hidden="1"/>
    </xf>
    <xf numFmtId="1" fontId="7" fillId="0" borderId="56" xfId="9" applyNumberFormat="1" applyFont="1" applyBorder="1" applyAlignment="1" applyProtection="1">
      <alignment horizontal="center" vertical="center"/>
      <protection hidden="1"/>
    </xf>
    <xf numFmtId="1" fontId="7" fillId="0" borderId="47" xfId="9" applyNumberFormat="1" applyFont="1" applyBorder="1" applyAlignment="1" applyProtection="1">
      <alignment horizontal="center" vertical="center"/>
      <protection hidden="1"/>
    </xf>
    <xf numFmtId="2" fontId="7" fillId="18" borderId="31" xfId="9" applyNumberFormat="1" applyFont="1" applyFill="1" applyBorder="1" applyAlignment="1" applyProtection="1">
      <alignment horizontal="center" vertical="center"/>
      <protection hidden="1"/>
    </xf>
    <xf numFmtId="2" fontId="7" fillId="18" borderId="47" xfId="9" applyNumberFormat="1" applyFont="1" applyFill="1" applyBorder="1" applyAlignment="1" applyProtection="1">
      <alignment horizontal="center" vertical="center"/>
      <protection hidden="1"/>
    </xf>
    <xf numFmtId="168" fontId="7" fillId="0" borderId="1" xfId="9" applyNumberFormat="1" applyFont="1" applyBorder="1" applyAlignment="1" applyProtection="1">
      <alignment horizontal="center" vertical="center"/>
      <protection hidden="1"/>
    </xf>
    <xf numFmtId="0" fontId="2" fillId="7" borderId="2" xfId="9" applyFont="1" applyFill="1" applyBorder="1" applyAlignment="1">
      <alignment horizontal="center" vertical="center"/>
    </xf>
    <xf numFmtId="0" fontId="2" fillId="7" borderId="3" xfId="9" applyFont="1" applyFill="1" applyBorder="1" applyAlignment="1">
      <alignment horizontal="center" vertical="center"/>
    </xf>
    <xf numFmtId="168" fontId="7" fillId="18" borderId="31" xfId="9" applyNumberFormat="1" applyFont="1" applyFill="1" applyBorder="1" applyAlignment="1" applyProtection="1">
      <alignment horizontal="center" vertical="center"/>
      <protection hidden="1"/>
    </xf>
    <xf numFmtId="168" fontId="7" fillId="18" borderId="47" xfId="9" applyNumberFormat="1" applyFont="1" applyFill="1" applyBorder="1" applyAlignment="1" applyProtection="1">
      <alignment horizontal="center" vertical="center"/>
      <protection hidden="1"/>
    </xf>
    <xf numFmtId="0" fontId="2" fillId="0" borderId="1" xfId="9" applyFont="1" applyBorder="1" applyAlignment="1">
      <alignment horizontal="center" vertical="center"/>
    </xf>
    <xf numFmtId="0" fontId="2" fillId="0" borderId="1" xfId="3" applyFont="1" applyBorder="1" applyAlignment="1" applyProtection="1">
      <alignment horizontal="center" vertical="center"/>
      <protection hidden="1"/>
    </xf>
    <xf numFmtId="0" fontId="2" fillId="18" borderId="1" xfId="3" applyFont="1" applyFill="1" applyBorder="1" applyAlignment="1" applyProtection="1">
      <alignment horizontal="center" vertical="center"/>
      <protection hidden="1"/>
    </xf>
    <xf numFmtId="0" fontId="2" fillId="0" borderId="2" xfId="12" applyFont="1" applyBorder="1" applyAlignment="1">
      <alignment horizontal="center"/>
    </xf>
    <xf numFmtId="0" fontId="2" fillId="0" borderId="3" xfId="12" applyFont="1" applyBorder="1" applyAlignment="1">
      <alignment horizontal="center"/>
    </xf>
    <xf numFmtId="0" fontId="2" fillId="0" borderId="6" xfId="12" applyFont="1" applyBorder="1" applyAlignment="1">
      <alignment horizontal="center"/>
    </xf>
    <xf numFmtId="0" fontId="2" fillId="0" borderId="0" xfId="12" applyFont="1" applyAlignment="1">
      <alignment horizontal="center"/>
    </xf>
    <xf numFmtId="0" fontId="2" fillId="7" borderId="2" xfId="3" applyFont="1" applyFill="1" applyBorder="1" applyAlignment="1" applyProtection="1">
      <alignment horizontal="center" vertical="center"/>
      <protection hidden="1"/>
    </xf>
    <xf numFmtId="0" fontId="2" fillId="7" borderId="3" xfId="3" applyFont="1" applyFill="1" applyBorder="1" applyAlignment="1" applyProtection="1">
      <alignment horizontal="center" vertical="center"/>
      <protection hidden="1"/>
    </xf>
    <xf numFmtId="1" fontId="7" fillId="0" borderId="2" xfId="9" applyNumberFormat="1" applyFont="1" applyBorder="1" applyAlignment="1" applyProtection="1">
      <alignment horizontal="center" vertical="center"/>
      <protection hidden="1"/>
    </xf>
    <xf numFmtId="1" fontId="7" fillId="0" borderId="6" xfId="9" applyNumberFormat="1" applyFont="1" applyBorder="1" applyAlignment="1" applyProtection="1">
      <alignment horizontal="center" vertical="center"/>
      <protection hidden="1"/>
    </xf>
    <xf numFmtId="2" fontId="1" fillId="0" borderId="2" xfId="3" applyNumberFormat="1" applyFont="1" applyBorder="1" applyAlignment="1" applyProtection="1">
      <alignment horizontal="center" vertical="center"/>
      <protection hidden="1"/>
    </xf>
    <xf numFmtId="2" fontId="1" fillId="0" borderId="6" xfId="3" applyNumberFormat="1" applyFont="1" applyBorder="1" applyAlignment="1" applyProtection="1">
      <alignment horizontal="center" vertical="center"/>
      <protection hidden="1"/>
    </xf>
    <xf numFmtId="0" fontId="42" fillId="0" borderId="1" xfId="9" applyFont="1" applyBorder="1" applyAlignment="1">
      <alignment horizontal="center" vertical="center"/>
    </xf>
    <xf numFmtId="0" fontId="42" fillId="0" borderId="1" xfId="9" applyFont="1" applyBorder="1" applyAlignment="1">
      <alignment horizontal="center" vertical="center" wrapText="1"/>
    </xf>
    <xf numFmtId="1" fontId="29" fillId="0" borderId="1" xfId="9" applyNumberFormat="1" applyFont="1" applyBorder="1" applyAlignment="1" applyProtection="1">
      <alignment horizontal="center" vertical="center"/>
      <protection hidden="1"/>
    </xf>
    <xf numFmtId="0" fontId="36" fillId="0" borderId="0" xfId="3" applyFont="1" applyAlignment="1" applyProtection="1">
      <alignment horizontal="center"/>
      <protection hidden="1"/>
    </xf>
    <xf numFmtId="0" fontId="32" fillId="0" borderId="0" xfId="3" applyFont="1" applyAlignment="1" applyProtection="1">
      <alignment horizontal="center" vertical="center"/>
      <protection hidden="1"/>
    </xf>
    <xf numFmtId="0" fontId="0" fillId="0" borderId="0" xfId="3" applyFont="1" applyAlignment="1" applyProtection="1">
      <alignment horizontal="center" wrapText="1"/>
      <protection hidden="1"/>
    </xf>
    <xf numFmtId="0" fontId="3" fillId="0" borderId="0" xfId="3" applyAlignment="1" applyProtection="1">
      <alignment horizontal="center" wrapText="1"/>
      <protection hidden="1"/>
    </xf>
    <xf numFmtId="0" fontId="36" fillId="5" borderId="0" xfId="3" applyFont="1" applyFill="1" applyAlignment="1" applyProtection="1">
      <alignment horizontal="center"/>
      <protection hidden="1"/>
    </xf>
    <xf numFmtId="1" fontId="7" fillId="0" borderId="26" xfId="9" applyNumberFormat="1" applyFont="1" applyBorder="1" applyAlignment="1" applyProtection="1">
      <alignment horizontal="center" vertical="center"/>
      <protection hidden="1"/>
    </xf>
    <xf numFmtId="1" fontId="7" fillId="0" borderId="28" xfId="9" applyNumberFormat="1" applyFont="1" applyBorder="1" applyAlignment="1" applyProtection="1">
      <alignment horizontal="center" vertical="center"/>
      <protection hidden="1"/>
    </xf>
    <xf numFmtId="0" fontId="27" fillId="7" borderId="0" xfId="9" applyFont="1" applyFill="1" applyAlignment="1" applyProtection="1">
      <alignment horizontal="center"/>
      <protection hidden="1"/>
    </xf>
    <xf numFmtId="0" fontId="3" fillId="7" borderId="0" xfId="9" applyFill="1" applyAlignment="1" applyProtection="1">
      <alignment horizontal="center"/>
      <protection hidden="1"/>
    </xf>
    <xf numFmtId="0" fontId="28" fillId="0" borderId="0" xfId="3" applyFont="1" applyAlignment="1" applyProtection="1">
      <alignment horizontal="left" vertical="center" shrinkToFit="1"/>
      <protection hidden="1"/>
    </xf>
    <xf numFmtId="1" fontId="7" fillId="14" borderId="26" xfId="9" applyNumberFormat="1" applyFont="1" applyFill="1" applyBorder="1" applyAlignment="1" applyProtection="1">
      <alignment horizontal="center" vertical="center" wrapText="1"/>
      <protection locked="0" hidden="1"/>
    </xf>
    <xf numFmtId="1" fontId="7" fillId="14" borderId="27" xfId="9" applyNumberFormat="1" applyFont="1" applyFill="1" applyBorder="1" applyAlignment="1" applyProtection="1">
      <alignment horizontal="center" vertical="center" wrapText="1"/>
      <protection locked="0" hidden="1"/>
    </xf>
    <xf numFmtId="1" fontId="7" fillId="14" borderId="28" xfId="9" applyNumberFormat="1" applyFont="1" applyFill="1" applyBorder="1" applyAlignment="1" applyProtection="1">
      <alignment horizontal="center" vertical="center" wrapText="1"/>
      <protection locked="0" hidden="1"/>
    </xf>
    <xf numFmtId="0" fontId="28" fillId="5" borderId="0" xfId="3" applyFont="1" applyFill="1" applyAlignment="1" applyProtection="1">
      <alignment horizontal="left" vertical="center" shrinkToFit="1"/>
      <protection hidden="1"/>
    </xf>
    <xf numFmtId="1" fontId="7" fillId="14" borderId="26" xfId="9" applyNumberFormat="1" applyFont="1" applyFill="1" applyBorder="1" applyAlignment="1" applyProtection="1">
      <alignment horizontal="center" vertical="center"/>
      <protection locked="0" hidden="1"/>
    </xf>
    <xf numFmtId="1" fontId="7" fillId="14" borderId="28" xfId="9" applyNumberFormat="1" applyFont="1" applyFill="1" applyBorder="1" applyAlignment="1" applyProtection="1">
      <alignment horizontal="center" vertical="center"/>
      <protection locked="0" hidden="1"/>
    </xf>
    <xf numFmtId="0" fontId="29" fillId="0" borderId="30" xfId="3" applyFont="1" applyBorder="1" applyAlignment="1" applyProtection="1">
      <alignment horizontal="center" vertical="center" shrinkToFit="1"/>
      <protection hidden="1"/>
    </xf>
    <xf numFmtId="0" fontId="29" fillId="0" borderId="0" xfId="3" applyFont="1" applyAlignment="1" applyProtection="1">
      <alignment horizontal="center" vertical="center" shrinkToFit="1"/>
      <protection hidden="1"/>
    </xf>
    <xf numFmtId="0" fontId="60" fillId="5" borderId="9" xfId="0" applyFont="1" applyFill="1" applyBorder="1" applyAlignment="1" applyProtection="1">
      <alignment horizontal="center"/>
      <protection locked="0" hidden="1"/>
    </xf>
    <xf numFmtId="0" fontId="60" fillId="5" borderId="2" xfId="0" applyFont="1" applyFill="1" applyBorder="1" applyAlignment="1" applyProtection="1">
      <alignment horizontal="center"/>
      <protection locked="0" hidden="1"/>
    </xf>
    <xf numFmtId="0" fontId="60" fillId="5" borderId="6" xfId="0" applyFont="1" applyFill="1" applyBorder="1" applyAlignment="1" applyProtection="1">
      <alignment horizontal="center"/>
      <protection locked="0" hidden="1"/>
    </xf>
    <xf numFmtId="0" fontId="0" fillId="0" borderId="2" xfId="0" applyBorder="1" applyAlignment="1">
      <alignment horizontal="center"/>
    </xf>
    <xf numFmtId="0" fontId="0" fillId="0" borderId="6" xfId="0" applyBorder="1" applyAlignment="1">
      <alignment horizontal="center"/>
    </xf>
    <xf numFmtId="0" fontId="0" fillId="0" borderId="1" xfId="0" applyBorder="1" applyAlignment="1">
      <alignment horizontal="center" vertical="center" wrapText="1"/>
    </xf>
    <xf numFmtId="44" fontId="0" fillId="0" borderId="2" xfId="13" applyFont="1" applyBorder="1" applyAlignment="1">
      <alignment horizontal="center"/>
    </xf>
    <xf numFmtId="44" fontId="0" fillId="0" borderId="6" xfId="13" applyFont="1" applyBorder="1" applyAlignment="1">
      <alignment horizontal="center"/>
    </xf>
    <xf numFmtId="0" fontId="0" fillId="0" borderId="1" xfId="0" applyBorder="1" applyAlignment="1">
      <alignment horizontal="center" wrapText="1"/>
    </xf>
    <xf numFmtId="0" fontId="0" fillId="0" borderId="9" xfId="0" applyBorder="1" applyAlignment="1">
      <alignment horizontal="center"/>
    </xf>
    <xf numFmtId="0" fontId="0" fillId="0" borderId="1" xfId="0" applyBorder="1" applyAlignment="1">
      <alignment horizontal="center" vertical="center"/>
    </xf>
  </cellXfs>
  <cellStyles count="14">
    <cellStyle name="Euro" xfId="8" xr:uid="{6B2708A1-CE82-40E6-B535-88E5704CEB6F}"/>
    <cellStyle name="Migliaia" xfId="11" builtinId="3"/>
    <cellStyle name="Normale" xfId="0" builtinId="0"/>
    <cellStyle name="Normale 10" xfId="4" xr:uid="{9EBB3525-BFB2-4954-96B4-8B8385CC85C9}"/>
    <cellStyle name="Normale 2" xfId="12" xr:uid="{1F1C6E12-C820-4405-992F-A7D954E06E12}"/>
    <cellStyle name="Normale 2 2" xfId="5" xr:uid="{74706510-18BA-4083-A197-1EC3FA5211BE}"/>
    <cellStyle name="Normale 2 2 2" xfId="9" xr:uid="{10289CC9-02CC-4B1A-95FF-85111146E485}"/>
    <cellStyle name="Normale 4" xfId="3" xr:uid="{92EDA2D4-BBB4-4C35-8945-6FF96F14CBBE}"/>
    <cellStyle name="Normale 5 2" xfId="1" xr:uid="{064EC068-14E0-46B9-9400-B2592EBBAB2F}"/>
    <cellStyle name="Normale 6 2" xfId="6" xr:uid="{1EB54EA5-8D36-4753-B55A-3DC6AC433ECD}"/>
    <cellStyle name="Normale 9" xfId="2" xr:uid="{66D830A0-E2FA-428D-BCCD-B39161BA2F44}"/>
    <cellStyle name="Percentuale 2" xfId="10" xr:uid="{CF63CCB4-E104-421C-A850-DF2AEA49165C}"/>
    <cellStyle name="Valuta" xfId="13" builtinId="4"/>
    <cellStyle name="Valuta 2" xfId="7" xr:uid="{1B590E54-EC03-486A-924B-2C2421C025C6}"/>
  </cellStyles>
  <dxfs count="16">
    <dxf>
      <font>
        <strike/>
      </font>
      <fill>
        <patternFill>
          <bgColor rgb="FFFF0000"/>
        </patternFill>
      </fill>
    </dxf>
    <dxf>
      <font>
        <strike/>
      </font>
      <fill>
        <patternFill>
          <bgColor rgb="FFFF0000"/>
        </patternFill>
      </fill>
    </dxf>
    <dxf>
      <font>
        <strike val="0"/>
      </font>
      <fill>
        <patternFill>
          <bgColor rgb="FFE7EEF5"/>
        </patternFill>
      </fill>
    </dxf>
    <dxf>
      <font>
        <strike/>
      </font>
      <fill>
        <patternFill>
          <bgColor rgb="FFFF0000"/>
        </patternFill>
      </fill>
    </dxf>
    <dxf>
      <font>
        <color auto="1"/>
      </font>
      <fill>
        <patternFill>
          <bgColor theme="1"/>
        </patternFill>
      </fill>
    </dxf>
    <dxf>
      <font>
        <color theme="0"/>
      </font>
      <fill>
        <patternFill>
          <bgColor theme="0"/>
        </patternFill>
      </fill>
      <border>
        <left/>
        <right/>
        <top/>
        <bottom/>
        <vertical/>
        <horizontal/>
      </border>
    </dxf>
    <dxf>
      <font>
        <color theme="0"/>
      </font>
      <fill>
        <patternFill>
          <bgColor theme="0"/>
        </patternFill>
      </fill>
      <border>
        <left/>
        <right/>
        <top/>
        <bottom/>
        <vertical/>
        <horizontal/>
      </border>
    </dxf>
    <dxf>
      <font>
        <color auto="1"/>
      </font>
      <fill>
        <patternFill>
          <bgColor theme="1"/>
        </patternFill>
      </fill>
    </dxf>
    <dxf>
      <fill>
        <patternFill>
          <bgColor theme="0"/>
        </patternFill>
      </fill>
    </dxf>
    <dxf>
      <font>
        <color theme="0"/>
      </font>
      <fill>
        <patternFill>
          <bgColor rgb="FFDE243D"/>
        </patternFill>
      </fill>
    </dxf>
    <dxf>
      <font>
        <color theme="0"/>
      </font>
      <fill>
        <patternFill>
          <bgColor rgb="FFDE243D"/>
        </patternFill>
      </fill>
    </dxf>
    <dxf>
      <font>
        <color theme="0"/>
      </font>
      <fill>
        <patternFill>
          <bgColor theme="0"/>
        </patternFill>
      </fill>
    </dxf>
    <dxf>
      <font>
        <color theme="0"/>
      </font>
      <fill>
        <patternFill>
          <bgColor theme="0"/>
        </patternFill>
      </fill>
    </dxf>
    <dxf>
      <font>
        <strike/>
        <color rgb="FFFF0000"/>
      </font>
      <fill>
        <patternFill>
          <bgColor theme="0"/>
        </patternFill>
      </fill>
    </dxf>
    <dxf>
      <font>
        <color theme="0"/>
      </font>
      <fill>
        <patternFill>
          <bgColor theme="0"/>
        </patternFill>
      </fill>
      <border>
        <left/>
        <right/>
        <top/>
        <bottom/>
      </border>
    </dxf>
    <dxf>
      <font>
        <color theme="0"/>
      </font>
      <fill>
        <patternFill>
          <fgColor rgb="FFBF293F"/>
          <bgColor rgb="FFDE243D"/>
        </patternFill>
      </fill>
    </dxf>
  </dxfs>
  <tableStyles count="0" defaultTableStyle="TableStyleMedium2" defaultPivotStyle="PivotStyleLight16"/>
  <colors>
    <mruColors>
      <color rgb="FFDE243D"/>
      <color rgb="FFFFFFFF"/>
      <color rgb="FFBF293F"/>
      <color rgb="FFEF99A5"/>
      <color rgb="FFE6607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microsoft.com/office/2017/10/relationships/person" Target="persons/person.xml"/><Relationship Id="rId18" Type="http://schemas.openxmlformats.org/officeDocument/2006/relationships/customXml" Target="../customXml/item4.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styles" Target="styles.xml"/><Relationship Id="rId19" Type="http://schemas.microsoft.com/office/2006/relationships/vbaProject" Target="vbaProject.bin"/><Relationship Id="rId4" Type="http://schemas.openxmlformats.org/officeDocument/2006/relationships/worksheet" Target="worksheets/sheet4.xml"/><Relationship Id="rId9" Type="http://schemas.openxmlformats.org/officeDocument/2006/relationships/connections" Target="connections.xml"/><Relationship Id="rId14"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1690144052366869E-2"/>
          <c:y val="3.1651405879119909E-2"/>
          <c:w val="0.92704861111111114"/>
          <c:h val="0.92639797043774064"/>
        </c:manualLayout>
      </c:layout>
      <c:scatterChart>
        <c:scatterStyle val="lineMarker"/>
        <c:varyColors val="0"/>
        <c:ser>
          <c:idx val="0"/>
          <c:order val="0"/>
          <c:tx>
            <c:v>Da Supporto #</c:v>
          </c:tx>
          <c:spPr>
            <a:ln w="34925" cap="rnd">
              <a:solidFill>
                <a:schemeClr val="accent1">
                  <a:lumMod val="75000"/>
                </a:schemeClr>
              </a:solidFill>
              <a:prstDash val="solid"/>
              <a:round/>
            </a:ln>
            <a:effectLst/>
          </c:spPr>
          <c:marker>
            <c:symbol val="circle"/>
            <c:size val="8"/>
            <c:spPr>
              <a:solidFill>
                <a:srgbClr val="BF293F"/>
              </a:solidFill>
              <a:ln w="9525">
                <a:solidFill>
                  <a:srgbClr val="BF293F"/>
                </a:solidFill>
              </a:ln>
              <a:effectLst/>
            </c:spPr>
          </c:marker>
          <c:dPt>
            <c:idx val="1"/>
            <c:marker>
              <c:symbol val="circle"/>
              <c:size val="8"/>
              <c:spPr>
                <a:solidFill>
                  <a:srgbClr val="BF293F"/>
                </a:solidFill>
                <a:ln w="9525">
                  <a:solidFill>
                    <a:srgbClr val="BF293F"/>
                  </a:solidFill>
                </a:ln>
                <a:effectLst/>
              </c:spPr>
            </c:marker>
            <c:bubble3D val="0"/>
            <c:spPr>
              <a:ln w="34925" cap="rnd">
                <a:solidFill>
                  <a:schemeClr val="accent1">
                    <a:lumMod val="75000"/>
                  </a:schemeClr>
                </a:solidFill>
                <a:prstDash val="solid"/>
                <a:round/>
              </a:ln>
              <a:effectLst/>
            </c:spPr>
            <c:extLst>
              <c:ext xmlns:c16="http://schemas.microsoft.com/office/drawing/2014/chart" uri="{C3380CC4-5D6E-409C-BE32-E72D297353CC}">
                <c16:uniqueId val="{00000001-5E7F-44D6-B76A-34925AECAF3A}"/>
              </c:ext>
            </c:extLst>
          </c:dPt>
          <c:dLbls>
            <c:dLbl>
              <c:idx val="0"/>
              <c:tx>
                <c:rich>
                  <a:bodyPr/>
                  <a:lstStyle/>
                  <a:p>
                    <a:fld id="{9057C6BA-97A4-4B3D-8A0A-95539C35D16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5E7F-44D6-B76A-34925AECAF3A}"/>
                </c:ext>
              </c:extLst>
            </c:dLbl>
            <c:dLbl>
              <c:idx val="1"/>
              <c:tx>
                <c:rich>
                  <a:bodyPr/>
                  <a:lstStyle/>
                  <a:p>
                    <a:fld id="{15C4F68E-DF99-4205-932D-495420388DAB}"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5E7F-44D6-B76A-34925AECAF3A}"/>
                </c:ext>
              </c:extLst>
            </c:dLbl>
            <c:dLbl>
              <c:idx val="2"/>
              <c:tx>
                <c:rich>
                  <a:bodyPr/>
                  <a:lstStyle/>
                  <a:p>
                    <a:fld id="{005C3A97-4E78-45B3-BF1C-95A149C5EA2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5E7F-44D6-B76A-34925AECAF3A}"/>
                </c:ext>
              </c:extLst>
            </c:dLbl>
            <c:dLbl>
              <c:idx val="3"/>
              <c:tx>
                <c:rich>
                  <a:bodyPr/>
                  <a:lstStyle/>
                  <a:p>
                    <a:fld id="{4D081D5D-0353-4F16-8990-CFEDEA7B041E}"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5E7F-44D6-B76A-34925AECAF3A}"/>
                </c:ext>
              </c:extLst>
            </c:dLbl>
            <c:dLbl>
              <c:idx val="4"/>
              <c:tx>
                <c:rich>
                  <a:bodyPr/>
                  <a:lstStyle/>
                  <a:p>
                    <a:fld id="{1CAAE73E-9E34-49AB-854D-607E62D2DC1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5E7F-44D6-B76A-34925AECAF3A}"/>
                </c:ext>
              </c:extLst>
            </c:dLbl>
            <c:dLbl>
              <c:idx val="5"/>
              <c:tx>
                <c:rich>
                  <a:bodyPr/>
                  <a:lstStyle/>
                  <a:p>
                    <a:fld id="{FC14881E-9C58-426C-B071-79BE360FA5C2}"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5E7F-44D6-B76A-34925AECAF3A}"/>
                </c:ext>
              </c:extLst>
            </c:dLbl>
            <c:dLbl>
              <c:idx val="6"/>
              <c:tx>
                <c:rich>
                  <a:bodyPr/>
                  <a:lstStyle/>
                  <a:p>
                    <a:fld id="{367236A2-4527-433B-A333-05CD328B5FCF}"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5E7F-44D6-B76A-34925AECAF3A}"/>
                </c:ext>
              </c:extLst>
            </c:dLbl>
            <c:dLbl>
              <c:idx val="7"/>
              <c:tx>
                <c:rich>
                  <a:bodyPr/>
                  <a:lstStyle/>
                  <a:p>
                    <a:fld id="{7C9CA878-D7F8-4FDE-BD25-E0368C52193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5E7F-44D6-B76A-34925AECAF3A}"/>
                </c:ext>
              </c:extLst>
            </c:dLbl>
            <c:dLbl>
              <c:idx val="8"/>
              <c:tx>
                <c:rich>
                  <a:bodyPr/>
                  <a:lstStyle/>
                  <a:p>
                    <a:fld id="{E147C95F-45DD-4FB8-8CC5-ABD7067B286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5E7F-44D6-B76A-34925AECAF3A}"/>
                </c:ext>
              </c:extLst>
            </c:dLbl>
            <c:dLbl>
              <c:idx val="9"/>
              <c:tx>
                <c:rich>
                  <a:bodyPr/>
                  <a:lstStyle/>
                  <a:p>
                    <a:fld id="{1D2D9F80-86DF-40CC-9E7B-0D5F9CC466A6}"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5E7F-44D6-B76A-34925AECAF3A}"/>
                </c:ext>
              </c:extLst>
            </c:dLbl>
            <c:dLbl>
              <c:idx val="10"/>
              <c:tx>
                <c:rich>
                  <a:bodyPr/>
                  <a:lstStyle/>
                  <a:p>
                    <a:fld id="{932CA594-B575-4AC2-9B14-9817539D4ED5}"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A-5E7F-44D6-B76A-34925AECAF3A}"/>
                </c:ext>
              </c:extLst>
            </c:dLbl>
            <c:dLbl>
              <c:idx val="11"/>
              <c:tx>
                <c:rich>
                  <a:bodyPr/>
                  <a:lstStyle/>
                  <a:p>
                    <a:fld id="{F1CE1FB2-E881-4A5D-983E-933BE1034520}"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B-5E7F-44D6-B76A-34925AECAF3A}"/>
                </c:ext>
              </c:extLst>
            </c:dLbl>
            <c:dLbl>
              <c:idx val="12"/>
              <c:tx>
                <c:rich>
                  <a:bodyPr/>
                  <a:lstStyle/>
                  <a:p>
                    <a:fld id="{85F2DEC0-4416-409A-A766-0C33816C7D5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C-5E7F-44D6-B76A-34925AECAF3A}"/>
                </c:ext>
              </c:extLst>
            </c:dLbl>
            <c:dLbl>
              <c:idx val="13"/>
              <c:tx>
                <c:rich>
                  <a:bodyPr/>
                  <a:lstStyle/>
                  <a:p>
                    <a:fld id="{40DC6802-C118-4968-BF37-D8A58CFA5C7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D-5E7F-44D6-B76A-34925AECAF3A}"/>
                </c:ext>
              </c:extLst>
            </c:dLbl>
            <c:dLbl>
              <c:idx val="14"/>
              <c:tx>
                <c:rich>
                  <a:bodyPr/>
                  <a:lstStyle/>
                  <a:p>
                    <a:fld id="{EA729619-7E43-4B64-AF24-A072DA2380AD}"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E-5E7F-44D6-B76A-34925AECAF3A}"/>
                </c:ext>
              </c:extLst>
            </c:dLbl>
            <c:dLbl>
              <c:idx val="15"/>
              <c:tx>
                <c:rich>
                  <a:bodyPr/>
                  <a:lstStyle/>
                  <a:p>
                    <a:fld id="{78B3578D-3617-4460-9164-50CC602BFC50}"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F-5E7F-44D6-B76A-34925AECAF3A}"/>
                </c:ext>
              </c:extLst>
            </c:dLbl>
            <c:dLbl>
              <c:idx val="16"/>
              <c:tx>
                <c:rich>
                  <a:bodyPr/>
                  <a:lstStyle/>
                  <a:p>
                    <a:fld id="{6B3DD32B-147C-4A59-A710-5A3F8395377D}"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0-5E7F-44D6-B76A-34925AECAF3A}"/>
                </c:ext>
              </c:extLst>
            </c:dLbl>
            <c:dLbl>
              <c:idx val="17"/>
              <c:tx>
                <c:rich>
                  <a:bodyPr/>
                  <a:lstStyle/>
                  <a:p>
                    <a:fld id="{37832861-8938-456E-AE68-F33A5F5488AB}"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1-5E7F-44D6-B76A-34925AECAF3A}"/>
                </c:ext>
              </c:extLst>
            </c:dLbl>
            <c:dLbl>
              <c:idx val="18"/>
              <c:tx>
                <c:rich>
                  <a:bodyPr/>
                  <a:lstStyle/>
                  <a:p>
                    <a:fld id="{85EBAE3D-AD38-403F-9313-8D082AFAD26E}"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2-5E7F-44D6-B76A-34925AECAF3A}"/>
                </c:ext>
              </c:extLst>
            </c:dLbl>
            <c:dLbl>
              <c:idx val="19"/>
              <c:tx>
                <c:rich>
                  <a:bodyPr/>
                  <a:lstStyle/>
                  <a:p>
                    <a:fld id="{CA5BECF9-988A-4CDF-95DD-B43E60B8DBFF}"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3-5E7F-44D6-B76A-34925AECAF3A}"/>
                </c:ext>
              </c:extLst>
            </c:dLbl>
            <c:dLbl>
              <c:idx val="20"/>
              <c:tx>
                <c:rich>
                  <a:bodyPr/>
                  <a:lstStyle/>
                  <a:p>
                    <a:fld id="{270007A4-721B-43A7-9696-CB3D8B25A671}"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4-5E7F-44D6-B76A-34925AECAF3A}"/>
                </c:ext>
              </c:extLst>
            </c:dLbl>
            <c:dLbl>
              <c:idx val="21"/>
              <c:tx>
                <c:rich>
                  <a:bodyPr/>
                  <a:lstStyle/>
                  <a:p>
                    <a:fld id="{AE359E9D-8097-471E-A768-2562ACBA70B1}"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5-5E7F-44D6-B76A-34925AECAF3A}"/>
                </c:ext>
              </c:extLst>
            </c:dLbl>
            <c:dLbl>
              <c:idx val="22"/>
              <c:tx>
                <c:rich>
                  <a:bodyPr/>
                  <a:lstStyle/>
                  <a:p>
                    <a:fld id="{4C5072B5-E550-4D0B-B2D9-07ACE3711C5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6-5E7F-44D6-B76A-34925AECAF3A}"/>
                </c:ext>
              </c:extLst>
            </c:dLbl>
            <c:dLbl>
              <c:idx val="23"/>
              <c:tx>
                <c:rich>
                  <a:bodyPr/>
                  <a:lstStyle/>
                  <a:p>
                    <a:fld id="{4709D0E3-FBDA-4811-9724-6BAA5E7CA9B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7-5E7F-44D6-B76A-34925AECAF3A}"/>
                </c:ext>
              </c:extLst>
            </c:dLbl>
            <c:dLbl>
              <c:idx val="24"/>
              <c:tx>
                <c:rich>
                  <a:bodyPr/>
                  <a:lstStyle/>
                  <a:p>
                    <a:fld id="{1164E494-6F58-4DC8-939C-1F42AED3677E}"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8-5E7F-44D6-B76A-34925AECAF3A}"/>
                </c:ext>
              </c:extLst>
            </c:dLbl>
            <c:dLbl>
              <c:idx val="25"/>
              <c:tx>
                <c:rich>
                  <a:bodyPr/>
                  <a:lstStyle/>
                  <a:p>
                    <a:fld id="{50A4E4C7-3F77-4646-A4C2-A09F1864A7E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9-5E7F-44D6-B76A-34925AECAF3A}"/>
                </c:ext>
              </c:extLst>
            </c:dLbl>
            <c:dLbl>
              <c:idx val="26"/>
              <c:tx>
                <c:rich>
                  <a:bodyPr/>
                  <a:lstStyle/>
                  <a:p>
                    <a:fld id="{E50F8047-939D-4339-8425-9165BA6527B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A-5E7F-44D6-B76A-34925AECAF3A}"/>
                </c:ext>
              </c:extLst>
            </c:dLbl>
            <c:dLbl>
              <c:idx val="27"/>
              <c:tx>
                <c:rich>
                  <a:bodyPr/>
                  <a:lstStyle/>
                  <a:p>
                    <a:fld id="{DF0D338A-F6C7-4DBF-81F2-3A218D70090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B-5E7F-44D6-B76A-34925AECAF3A}"/>
                </c:ext>
              </c:extLst>
            </c:dLbl>
            <c:dLbl>
              <c:idx val="28"/>
              <c:tx>
                <c:rich>
                  <a:bodyPr/>
                  <a:lstStyle/>
                  <a:p>
                    <a:fld id="{DCC06E7C-A8A1-402A-B97C-D3117B88535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C-5E7F-44D6-B76A-34925AECAF3A}"/>
                </c:ext>
              </c:extLst>
            </c:dLbl>
            <c:dLbl>
              <c:idx val="29"/>
              <c:tx>
                <c:rich>
                  <a:bodyPr/>
                  <a:lstStyle/>
                  <a:p>
                    <a:fld id="{BFD37B7C-EB1A-4573-A232-68898ED2DD6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D-5E7F-44D6-B76A-34925AECAF3A}"/>
                </c:ext>
              </c:extLst>
            </c:dLbl>
            <c:dLbl>
              <c:idx val="30"/>
              <c:tx>
                <c:rich>
                  <a:bodyPr/>
                  <a:lstStyle/>
                  <a:p>
                    <a:fld id="{256B5C66-A003-4CFF-91BC-73878E419528}"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E-5E7F-44D6-B76A-34925AECAF3A}"/>
                </c:ext>
              </c:extLst>
            </c:dLbl>
            <c:dLbl>
              <c:idx val="31"/>
              <c:tx>
                <c:rich>
                  <a:bodyPr/>
                  <a:lstStyle/>
                  <a:p>
                    <a:fld id="{71BE570E-5B5F-454F-987B-FDD25AB3B68B}"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F-5E7F-44D6-B76A-34925AECAF3A}"/>
                </c:ext>
              </c:extLst>
            </c:dLbl>
            <c:dLbl>
              <c:idx val="32"/>
              <c:tx>
                <c:rich>
                  <a:bodyPr/>
                  <a:lstStyle/>
                  <a:p>
                    <a:fld id="{D68F439E-D2BC-48A0-9BCC-A51A177D42F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0-5E7F-44D6-B76A-34925AECAF3A}"/>
                </c:ext>
              </c:extLst>
            </c:dLbl>
            <c:dLbl>
              <c:idx val="33"/>
              <c:tx>
                <c:rich>
                  <a:bodyPr/>
                  <a:lstStyle/>
                  <a:p>
                    <a:fld id="{1ADD2DC3-5CC5-4983-92C2-92D3473AF1DF}"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1-5E7F-44D6-B76A-34925AECAF3A}"/>
                </c:ext>
              </c:extLst>
            </c:dLbl>
            <c:dLbl>
              <c:idx val="34"/>
              <c:tx>
                <c:rich>
                  <a:bodyPr/>
                  <a:lstStyle/>
                  <a:p>
                    <a:fld id="{9274655C-6B71-4AAF-A504-96C7030C55F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2-5E7F-44D6-B76A-34925AECAF3A}"/>
                </c:ext>
              </c:extLst>
            </c:dLbl>
            <c:dLbl>
              <c:idx val="35"/>
              <c:tx>
                <c:rich>
                  <a:bodyPr/>
                  <a:lstStyle/>
                  <a:p>
                    <a:fld id="{847FCD46-4D36-42DC-9DF6-8DA5B7E54B28}"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3-5E7F-44D6-B76A-34925AECAF3A}"/>
                </c:ext>
              </c:extLst>
            </c:dLbl>
            <c:dLbl>
              <c:idx val="36"/>
              <c:tx>
                <c:rich>
                  <a:bodyPr/>
                  <a:lstStyle/>
                  <a:p>
                    <a:fld id="{958A83DB-4723-4528-87A9-F2DCB3EDB83D}"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4-5E7F-44D6-B76A-34925AECAF3A}"/>
                </c:ext>
              </c:extLst>
            </c:dLbl>
            <c:dLbl>
              <c:idx val="37"/>
              <c:tx>
                <c:rich>
                  <a:bodyPr/>
                  <a:lstStyle/>
                  <a:p>
                    <a:fld id="{A469CAA6-55E9-4A0D-B1A3-967677867AAF}"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5-5E7F-44D6-B76A-34925AECAF3A}"/>
                </c:ext>
              </c:extLst>
            </c:dLbl>
            <c:dLbl>
              <c:idx val="38"/>
              <c:tx>
                <c:rich>
                  <a:bodyPr/>
                  <a:lstStyle/>
                  <a:p>
                    <a:fld id="{D02F9696-95B6-4C72-8F5C-C1BBFC834A44}"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6-5E7F-44D6-B76A-34925AECAF3A}"/>
                </c:ext>
              </c:extLst>
            </c:dLbl>
            <c:dLbl>
              <c:idx val="39"/>
              <c:tx>
                <c:rich>
                  <a:bodyPr/>
                  <a:lstStyle/>
                  <a:p>
                    <a:fld id="{AAB9AFA8-5DDC-4F53-A5F5-E3D9B279ADB0}"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7-5E7F-44D6-B76A-34925AECAF3A}"/>
                </c:ext>
              </c:extLst>
            </c:dLbl>
            <c:dLbl>
              <c:idx val="40"/>
              <c:tx>
                <c:rich>
                  <a:bodyPr/>
                  <a:lstStyle/>
                  <a:p>
                    <a:fld id="{CAB165C1-37E4-4190-B2EE-E9E2EF314C37}"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8-5E7F-44D6-B76A-34925AECAF3A}"/>
                </c:ext>
              </c:extLst>
            </c:dLbl>
            <c:dLbl>
              <c:idx val="41"/>
              <c:tx>
                <c:rich>
                  <a:bodyPr/>
                  <a:lstStyle/>
                  <a:p>
                    <a:fld id="{033B0695-90E3-47A4-BD42-17BD1D2B98E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9-5E7F-44D6-B76A-34925AECAF3A}"/>
                </c:ext>
              </c:extLst>
            </c:dLbl>
            <c:dLbl>
              <c:idx val="42"/>
              <c:tx>
                <c:rich>
                  <a:bodyPr/>
                  <a:lstStyle/>
                  <a:p>
                    <a:fld id="{C1B112C3-26AE-4589-977F-8F4F126DD4DD}"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A-5E7F-44D6-B76A-34925AECAF3A}"/>
                </c:ext>
              </c:extLst>
            </c:dLbl>
            <c:dLbl>
              <c:idx val="43"/>
              <c:tx>
                <c:rich>
                  <a:bodyPr/>
                  <a:lstStyle/>
                  <a:p>
                    <a:fld id="{7C3305C6-FE08-4C74-BDAF-2D6F69C0754A}"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B-5E7F-44D6-B76A-34925AECAF3A}"/>
                </c:ext>
              </c:extLst>
            </c:dLbl>
            <c:dLbl>
              <c:idx val="44"/>
              <c:tx>
                <c:rich>
                  <a:bodyPr/>
                  <a:lstStyle/>
                  <a:p>
                    <a:fld id="{50C484B8-5204-47D9-96A8-D62476E3274E}"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C-5E7F-44D6-B76A-34925AECAF3A}"/>
                </c:ext>
              </c:extLst>
            </c:dLbl>
            <c:dLbl>
              <c:idx val="45"/>
              <c:tx>
                <c:rich>
                  <a:bodyPr/>
                  <a:lstStyle/>
                  <a:p>
                    <a:fld id="{129264D5-27E2-426F-85A1-0CE3F97B1C68}"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D-5E7F-44D6-B76A-34925AECAF3A}"/>
                </c:ext>
              </c:extLst>
            </c:dLbl>
            <c:dLbl>
              <c:idx val="46"/>
              <c:tx>
                <c:rich>
                  <a:bodyPr/>
                  <a:lstStyle/>
                  <a:p>
                    <a:fld id="{370A3265-0556-4F95-913E-B4A938E54C84}"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E-5E7F-44D6-B76A-34925AECAF3A}"/>
                </c:ext>
              </c:extLst>
            </c:dLbl>
            <c:dLbl>
              <c:idx val="47"/>
              <c:tx>
                <c:rich>
                  <a:bodyPr/>
                  <a:lstStyle/>
                  <a:p>
                    <a:fld id="{9744ADBB-3A6A-4C84-A8AD-C4B064AA67EE}"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F-5E7F-44D6-B76A-34925AECAF3A}"/>
                </c:ext>
              </c:extLst>
            </c:dLbl>
            <c:dLbl>
              <c:idx val="48"/>
              <c:tx>
                <c:rich>
                  <a:bodyPr/>
                  <a:lstStyle/>
                  <a:p>
                    <a:fld id="{AA62A44D-CB8B-4CFB-B20E-DEA64B7A2A8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0-5E7F-44D6-B76A-34925AECAF3A}"/>
                </c:ext>
              </c:extLst>
            </c:dLbl>
            <c:dLbl>
              <c:idx val="49"/>
              <c:tx>
                <c:rich>
                  <a:bodyPr/>
                  <a:lstStyle/>
                  <a:p>
                    <a:fld id="{8D58FF89-2579-43D0-AF3E-F3682B75E67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1-5E7F-44D6-B76A-34925AECAF3A}"/>
                </c:ext>
              </c:extLst>
            </c:dLbl>
            <c:dLbl>
              <c:idx val="50"/>
              <c:tx>
                <c:rich>
                  <a:bodyPr/>
                  <a:lstStyle/>
                  <a:p>
                    <a:fld id="{DDDF9667-DC0D-4E86-ADCE-8AA1CA564040}"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2-5E7F-44D6-B76A-34925AECAF3A}"/>
                </c:ext>
              </c:extLst>
            </c:dLbl>
            <c:dLbl>
              <c:idx val="51"/>
              <c:tx>
                <c:rich>
                  <a:bodyPr/>
                  <a:lstStyle/>
                  <a:p>
                    <a:fld id="{7572F7C6-C3DE-482F-BE39-141750B50D33}"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3-5E7F-44D6-B76A-34925AECAF3A}"/>
                </c:ext>
              </c:extLst>
            </c:dLbl>
            <c:dLbl>
              <c:idx val="52"/>
              <c:tx>
                <c:rich>
                  <a:bodyPr/>
                  <a:lstStyle/>
                  <a:p>
                    <a:fld id="{D1E14B6C-6397-4B22-A393-AA5B638696D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4-5E7F-44D6-B76A-34925AECAF3A}"/>
                </c:ext>
              </c:extLst>
            </c:dLbl>
            <c:dLbl>
              <c:idx val="53"/>
              <c:tx>
                <c:rich>
                  <a:bodyPr/>
                  <a:lstStyle/>
                  <a:p>
                    <a:fld id="{E8C55274-6510-487F-8410-1C0E9416106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5-5E7F-44D6-B76A-34925AECAF3A}"/>
                </c:ext>
              </c:extLst>
            </c:dLbl>
            <c:dLbl>
              <c:idx val="54"/>
              <c:tx>
                <c:rich>
                  <a:bodyPr/>
                  <a:lstStyle/>
                  <a:p>
                    <a:fld id="{D0687859-9716-4163-BD18-6A2724BFBFE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6-5E7F-44D6-B76A-34925AECAF3A}"/>
                </c:ext>
              </c:extLst>
            </c:dLbl>
            <c:dLbl>
              <c:idx val="55"/>
              <c:tx>
                <c:rich>
                  <a:bodyPr/>
                  <a:lstStyle/>
                  <a:p>
                    <a:fld id="{1D60DA19-5E62-48A4-931B-1BAB2F6C8754}"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7-5E7F-44D6-B76A-34925AECAF3A}"/>
                </c:ext>
              </c:extLst>
            </c:dLbl>
            <c:dLbl>
              <c:idx val="56"/>
              <c:tx>
                <c:rich>
                  <a:bodyPr/>
                  <a:lstStyle/>
                  <a:p>
                    <a:fld id="{7908445C-966B-41D7-9430-FDB884F1AE6B}"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8-5E7F-44D6-B76A-34925AECAF3A}"/>
                </c:ext>
              </c:extLst>
            </c:dLbl>
            <c:dLbl>
              <c:idx val="57"/>
              <c:tx>
                <c:rich>
                  <a:bodyPr/>
                  <a:lstStyle/>
                  <a:p>
                    <a:fld id="{7B9E4FB6-AD18-4558-85EB-3ACCB7879911}"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9-5E7F-44D6-B76A-34925AECAF3A}"/>
                </c:ext>
              </c:extLst>
            </c:dLbl>
            <c:dLbl>
              <c:idx val="58"/>
              <c:tx>
                <c:rich>
                  <a:bodyPr/>
                  <a:lstStyle/>
                  <a:p>
                    <a:fld id="{E49994DB-B24A-4376-8001-E4F878936C4D}"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A-5E7F-44D6-B76A-34925AECAF3A}"/>
                </c:ext>
              </c:extLst>
            </c:dLbl>
            <c:dLbl>
              <c:idx val="59"/>
              <c:tx>
                <c:rich>
                  <a:bodyPr/>
                  <a:lstStyle/>
                  <a:p>
                    <a:fld id="{BC9B1EE3-EDD3-4BBA-886C-BCBD44EF3D59}"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B-5E7F-44D6-B76A-34925AECAF3A}"/>
                </c:ext>
              </c:extLst>
            </c:dLbl>
            <c:dLbl>
              <c:idx val="60"/>
              <c:tx>
                <c:rich>
                  <a:bodyPr/>
                  <a:lstStyle/>
                  <a:p>
                    <a:fld id="{08D4199B-3050-4813-97E0-DF9ADF70AB14}"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C-5E7F-44D6-B76A-34925AECAF3A}"/>
                </c:ext>
              </c:extLst>
            </c:dLbl>
            <c:dLbl>
              <c:idx val="61"/>
              <c:tx>
                <c:rich>
                  <a:bodyPr/>
                  <a:lstStyle/>
                  <a:p>
                    <a:fld id="{DD6B4192-3F57-4E98-900C-3FC55A2AA88A}"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D-5E7F-44D6-B76A-34925AECAF3A}"/>
                </c:ext>
              </c:extLst>
            </c:dLbl>
            <c:dLbl>
              <c:idx val="62"/>
              <c:tx>
                <c:rich>
                  <a:bodyPr/>
                  <a:lstStyle/>
                  <a:p>
                    <a:fld id="{3D72D82F-6762-42EF-8EFA-8EFC28D3246C}" type="CELLRANGE">
                      <a:rPr lang="it-IT"/>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E-5E7F-44D6-B76A-34925AECAF3A}"/>
                </c:ext>
              </c:extLst>
            </c:dLbl>
            <c:dLbl>
              <c:idx val="63"/>
              <c:tx>
                <c:rich>
                  <a:bodyPr/>
                  <a:lstStyle/>
                  <a:p>
                    <a:endParaRPr lang="it-IT"/>
                  </a:p>
                </c:rich>
              </c:tx>
              <c:dLblPos val="t"/>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40-5E7F-44D6-B76A-34925AECAF3A}"/>
                </c:ext>
              </c:extLst>
            </c:dLbl>
            <c:numFmt formatCode="General" sourceLinked="0"/>
            <c:spPr>
              <a:solidFill>
                <a:srgbClr val="BF293F"/>
              </a:solidFill>
              <a:ln>
                <a:solidFill>
                  <a:schemeClr val="tx1"/>
                </a:solidFill>
              </a:ln>
              <a:effectLst/>
            </c:spPr>
            <c:txPr>
              <a:bodyPr rot="0" spcFirstLastPara="1" vertOverflow="clip" horzOverflow="clip" vert="horz" wrap="none" lIns="36576" tIns="18288" rIns="36576" bIns="18288" anchor="ctr" anchorCtr="1">
                <a:spAutoFit/>
              </a:bodyPr>
              <a:lstStyle/>
              <a:p>
                <a:pPr>
                  <a:defRPr sz="1000" b="0" i="0" u="none" strike="noStrike" kern="1200" baseline="0">
                    <a:solidFill>
                      <a:schemeClr val="bg1"/>
                    </a:solidFill>
                    <a:latin typeface="+mn-lt"/>
                    <a:ea typeface="+mn-ea"/>
                    <a:cs typeface="+mn-cs"/>
                  </a:defRPr>
                </a:pPr>
                <a:endParaRPr lang="it-IT"/>
              </a:p>
            </c:txPr>
            <c:dLblPos val="t"/>
            <c:showLegendKey val="0"/>
            <c:showVal val="0"/>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DataLabelsRange val="1"/>
                <c15:showLeaderLines val="0"/>
              </c:ext>
            </c:extLst>
          </c:dLbls>
          <c:xVal>
            <c:numRef>
              <c:f>Calculator!$H$190:$H$253</c:f>
              <c:numCache>
                <c:formatCode>0.00</c:formatCode>
                <c:ptCount val="6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numCache>
            </c:numRef>
          </c:xVal>
          <c:yVal>
            <c:numRef>
              <c:f>Calculator!$I$190:$I$253</c:f>
              <c:numCache>
                <c:formatCode>0.00</c:formatCode>
                <c:ptCount val="6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numCache>
            </c:numRef>
          </c:yVal>
          <c:smooth val="0"/>
          <c:extLst>
            <c:ext xmlns:c15="http://schemas.microsoft.com/office/drawing/2012/chart" uri="{02D57815-91ED-43cb-92C2-25804820EDAC}">
              <c15:datalabelsRange>
                <c15:f>Calculator!$B$191:$B$253</c15:f>
                <c15:dlblRangeCache>
                  <c:ptCount val="63"/>
                </c15:dlblRangeCache>
              </c15:datalabelsRange>
            </c:ext>
            <c:ext xmlns:c16="http://schemas.microsoft.com/office/drawing/2014/chart" uri="{C3380CC4-5D6E-409C-BE32-E72D297353CC}">
              <c16:uniqueId val="{0000003F-5E7F-44D6-B76A-34925AECAF3A}"/>
            </c:ext>
          </c:extLst>
        </c:ser>
        <c:dLbls>
          <c:showLegendKey val="0"/>
          <c:showVal val="0"/>
          <c:showCatName val="0"/>
          <c:showSerName val="0"/>
          <c:showPercent val="0"/>
          <c:showBubbleSize val="0"/>
        </c:dLbls>
        <c:axId val="1954663311"/>
        <c:axId val="1954646255"/>
      </c:scatterChart>
      <c:valAx>
        <c:axId val="1954663311"/>
        <c:scaling>
          <c:orientation val="minMax"/>
          <c:max val="40"/>
          <c:min val="-40"/>
        </c:scaling>
        <c:delete val="0"/>
        <c:axPos val="b"/>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low"/>
        <c:spPr>
          <a:noFill/>
          <a:ln>
            <a:solidFill>
              <a:schemeClr val="tx1">
                <a:lumMod val="25000"/>
                <a:lumOff val="75000"/>
              </a:schemeClr>
            </a:solidFill>
          </a:ln>
          <a:effectLst/>
        </c:spPr>
        <c:txPr>
          <a:bodyPr rot="-60000000" spcFirstLastPara="1" vertOverflow="ellipsis" vert="horz" wrap="square" anchor="ctr" anchorCtr="1"/>
          <a:lstStyle/>
          <a:p>
            <a:pPr algn="ctr">
              <a:defRPr lang="en-US" sz="1000" b="0" i="0" u="none" strike="noStrike" kern="1200" spc="20" baseline="0">
                <a:solidFill>
                  <a:schemeClr val="tx1">
                    <a:lumMod val="65000"/>
                    <a:lumOff val="35000"/>
                  </a:schemeClr>
                </a:solidFill>
                <a:latin typeface="+mj-lt"/>
                <a:ea typeface="+mn-ea"/>
                <a:cs typeface="+mn-cs"/>
              </a:defRPr>
            </a:pPr>
            <a:endParaRPr lang="it-IT"/>
          </a:p>
        </c:txPr>
        <c:crossAx val="1954646255"/>
        <c:crosses val="autoZero"/>
        <c:crossBetween val="midCat"/>
        <c:majorUnit val="5"/>
        <c:minorUnit val="5"/>
      </c:valAx>
      <c:valAx>
        <c:axId val="1954646255"/>
        <c:scaling>
          <c:orientation val="minMax"/>
          <c:max val="40"/>
          <c:min val="-4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high"/>
        <c:spPr>
          <a:noFill/>
          <a:ln>
            <a:noFill/>
          </a:ln>
          <a:effectLst/>
        </c:spPr>
        <c:txPr>
          <a:bodyPr rot="0" spcFirstLastPara="1" vertOverflow="ellipsis" wrap="square" anchor="ctr" anchorCtr="1"/>
          <a:lstStyle/>
          <a:p>
            <a:pPr>
              <a:defRPr sz="1000" b="0" i="0" u="none" strike="noStrike" kern="1200" spc="20" baseline="0">
                <a:solidFill>
                  <a:schemeClr val="tx1">
                    <a:lumMod val="65000"/>
                    <a:lumOff val="35000"/>
                  </a:schemeClr>
                </a:solidFill>
                <a:latin typeface="+mj-lt"/>
                <a:ea typeface="+mn-ea"/>
                <a:cs typeface="+mn-cs"/>
              </a:defRPr>
            </a:pPr>
            <a:endParaRPr lang="it-IT"/>
          </a:p>
        </c:txPr>
        <c:crossAx val="1954663311"/>
        <c:crosses val="autoZero"/>
        <c:crossBetween val="midCat"/>
        <c:majorUnit val="5"/>
        <c:minorUnit val="5"/>
      </c:valAx>
      <c:spPr>
        <a:noFill/>
        <a:ln w="6350">
          <a:solidFill>
            <a:schemeClr val="tx1"/>
          </a:solidFill>
        </a:ln>
        <a:effectLst/>
      </c:spPr>
    </c:plotArea>
    <c:plotVisOnly val="0"/>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solidFill>
        <a:schemeClr val="tx1"/>
      </a:solidFill>
      <a:round/>
    </a:ln>
    <a:effectLst/>
  </c:spPr>
  <c:txPr>
    <a:bodyPr/>
    <a:lstStyle/>
    <a:p>
      <a:pPr>
        <a:defRPr/>
      </a:pPr>
      <a:endParaRPr lang="it-IT"/>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1690144052366869E-2"/>
          <c:y val="3.1651405879119909E-2"/>
          <c:w val="0.92704861111111114"/>
          <c:h val="0.92639797043774064"/>
        </c:manualLayout>
      </c:layout>
      <c:scatterChart>
        <c:scatterStyle val="lineMarker"/>
        <c:varyColors val="0"/>
        <c:ser>
          <c:idx val="0"/>
          <c:order val="0"/>
          <c:tx>
            <c:v>Da Supporto #</c:v>
          </c:tx>
          <c:spPr>
            <a:ln w="34925" cap="rnd">
              <a:solidFill>
                <a:schemeClr val="accent1">
                  <a:lumMod val="75000"/>
                </a:schemeClr>
              </a:solidFill>
              <a:prstDash val="solid"/>
              <a:round/>
            </a:ln>
            <a:effectLst/>
          </c:spPr>
          <c:marker>
            <c:symbol val="circle"/>
            <c:size val="8"/>
            <c:spPr>
              <a:solidFill>
                <a:srgbClr val="BF293F"/>
              </a:solidFill>
              <a:ln w="9525">
                <a:solidFill>
                  <a:srgbClr val="BF293F"/>
                </a:solidFill>
              </a:ln>
              <a:effectLst/>
            </c:spPr>
          </c:marker>
          <c:dPt>
            <c:idx val="1"/>
            <c:marker>
              <c:symbol val="circle"/>
              <c:size val="8"/>
              <c:spPr>
                <a:solidFill>
                  <a:srgbClr val="BF293F"/>
                </a:solidFill>
                <a:ln w="9525">
                  <a:solidFill>
                    <a:srgbClr val="BF293F"/>
                  </a:solidFill>
                </a:ln>
                <a:effectLst/>
              </c:spPr>
            </c:marker>
            <c:bubble3D val="0"/>
            <c:spPr>
              <a:ln w="34925" cap="rnd">
                <a:solidFill>
                  <a:schemeClr val="accent1">
                    <a:lumMod val="75000"/>
                  </a:schemeClr>
                </a:solidFill>
                <a:prstDash val="solid"/>
                <a:round/>
              </a:ln>
              <a:effectLst/>
            </c:spPr>
            <c:extLst>
              <c:ext xmlns:c16="http://schemas.microsoft.com/office/drawing/2014/chart" uri="{C3380CC4-5D6E-409C-BE32-E72D297353CC}">
                <c16:uniqueId val="{00000001-7390-4835-B1EE-6774FBE9BC54}"/>
              </c:ext>
            </c:extLst>
          </c:dPt>
          <c:dLbls>
            <c:dLbl>
              <c:idx val="0"/>
              <c:tx>
                <c:rich>
                  <a:bodyPr/>
                  <a:lstStyle/>
                  <a:p>
                    <a:fld id="{217FEA65-FA8F-44F3-AF84-D657F30843CC}"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7390-4835-B1EE-6774FBE9BC54}"/>
                </c:ext>
              </c:extLst>
            </c:dLbl>
            <c:dLbl>
              <c:idx val="1"/>
              <c:tx>
                <c:rich>
                  <a:bodyPr/>
                  <a:lstStyle/>
                  <a:p>
                    <a:fld id="{413CEBC5-E149-4506-B35D-5FE17149C74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7390-4835-B1EE-6774FBE9BC54}"/>
                </c:ext>
              </c:extLst>
            </c:dLbl>
            <c:dLbl>
              <c:idx val="2"/>
              <c:tx>
                <c:rich>
                  <a:bodyPr/>
                  <a:lstStyle/>
                  <a:p>
                    <a:fld id="{95EE2D9C-C28B-464C-B44A-B65EEBB2343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7390-4835-B1EE-6774FBE9BC54}"/>
                </c:ext>
              </c:extLst>
            </c:dLbl>
            <c:dLbl>
              <c:idx val="3"/>
              <c:tx>
                <c:rich>
                  <a:bodyPr/>
                  <a:lstStyle/>
                  <a:p>
                    <a:fld id="{B1451263-4AA9-4ED0-A6FC-BEAE70EC581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7390-4835-B1EE-6774FBE9BC54}"/>
                </c:ext>
              </c:extLst>
            </c:dLbl>
            <c:dLbl>
              <c:idx val="4"/>
              <c:tx>
                <c:rich>
                  <a:bodyPr/>
                  <a:lstStyle/>
                  <a:p>
                    <a:fld id="{19B84C92-F8CC-468C-BD4B-020459105C8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7390-4835-B1EE-6774FBE9BC54}"/>
                </c:ext>
              </c:extLst>
            </c:dLbl>
            <c:dLbl>
              <c:idx val="5"/>
              <c:tx>
                <c:rich>
                  <a:bodyPr/>
                  <a:lstStyle/>
                  <a:p>
                    <a:fld id="{74E4C1B0-8863-4033-88D5-FFFCBBA220A9}"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6-7390-4835-B1EE-6774FBE9BC54}"/>
                </c:ext>
              </c:extLst>
            </c:dLbl>
            <c:dLbl>
              <c:idx val="6"/>
              <c:tx>
                <c:rich>
                  <a:bodyPr/>
                  <a:lstStyle/>
                  <a:p>
                    <a:fld id="{58776705-0254-4D1A-A04B-E7C55C5B9C3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7390-4835-B1EE-6774FBE9BC54}"/>
                </c:ext>
              </c:extLst>
            </c:dLbl>
            <c:dLbl>
              <c:idx val="7"/>
              <c:tx>
                <c:rich>
                  <a:bodyPr/>
                  <a:lstStyle/>
                  <a:p>
                    <a:fld id="{37464309-7428-4FAC-89C4-0C6CFB162AC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8-7390-4835-B1EE-6774FBE9BC54}"/>
                </c:ext>
              </c:extLst>
            </c:dLbl>
            <c:dLbl>
              <c:idx val="8"/>
              <c:tx>
                <c:rich>
                  <a:bodyPr/>
                  <a:lstStyle/>
                  <a:p>
                    <a:fld id="{67E45CD8-C9D7-488B-BA41-5C1344925A81}"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7390-4835-B1EE-6774FBE9BC54}"/>
                </c:ext>
              </c:extLst>
            </c:dLbl>
            <c:dLbl>
              <c:idx val="9"/>
              <c:tx>
                <c:rich>
                  <a:bodyPr/>
                  <a:lstStyle/>
                  <a:p>
                    <a:fld id="{34D3DAC0-8A8E-4125-A51D-B6B88B7FAA6D}"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A-7390-4835-B1EE-6774FBE9BC54}"/>
                </c:ext>
              </c:extLst>
            </c:dLbl>
            <c:dLbl>
              <c:idx val="10"/>
              <c:tx>
                <c:rich>
                  <a:bodyPr/>
                  <a:lstStyle/>
                  <a:p>
                    <a:fld id="{165E004F-DE84-40EB-917E-3FFB4652451C}"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7390-4835-B1EE-6774FBE9BC54}"/>
                </c:ext>
              </c:extLst>
            </c:dLbl>
            <c:dLbl>
              <c:idx val="11"/>
              <c:tx>
                <c:rich>
                  <a:bodyPr/>
                  <a:lstStyle/>
                  <a:p>
                    <a:fld id="{F43AF1BD-A262-415B-BBCD-2AD6A3DC7853}"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C-7390-4835-B1EE-6774FBE9BC54}"/>
                </c:ext>
              </c:extLst>
            </c:dLbl>
            <c:dLbl>
              <c:idx val="12"/>
              <c:tx>
                <c:rich>
                  <a:bodyPr/>
                  <a:lstStyle/>
                  <a:p>
                    <a:fld id="{32F81364-9E41-40E1-A783-FB8A692410AD}"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7390-4835-B1EE-6774FBE9BC54}"/>
                </c:ext>
              </c:extLst>
            </c:dLbl>
            <c:dLbl>
              <c:idx val="13"/>
              <c:tx>
                <c:rich>
                  <a:bodyPr/>
                  <a:lstStyle/>
                  <a:p>
                    <a:fld id="{2657E96E-4788-4974-BD6E-B2730EAED40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E-7390-4835-B1EE-6774FBE9BC54}"/>
                </c:ext>
              </c:extLst>
            </c:dLbl>
            <c:dLbl>
              <c:idx val="14"/>
              <c:tx>
                <c:rich>
                  <a:bodyPr/>
                  <a:lstStyle/>
                  <a:p>
                    <a:fld id="{E02A0139-4FFC-41AE-91B9-4A466523E663}"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7390-4835-B1EE-6774FBE9BC54}"/>
                </c:ext>
              </c:extLst>
            </c:dLbl>
            <c:dLbl>
              <c:idx val="15"/>
              <c:tx>
                <c:rich>
                  <a:bodyPr/>
                  <a:lstStyle/>
                  <a:p>
                    <a:fld id="{D978F67A-5DA0-4B14-9EFE-9C65886A20F9}"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0-7390-4835-B1EE-6774FBE9BC54}"/>
                </c:ext>
              </c:extLst>
            </c:dLbl>
            <c:dLbl>
              <c:idx val="16"/>
              <c:tx>
                <c:rich>
                  <a:bodyPr/>
                  <a:lstStyle/>
                  <a:p>
                    <a:fld id="{32D6DD24-3ADA-4AC2-BCDA-A30BC453371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7390-4835-B1EE-6774FBE9BC54}"/>
                </c:ext>
              </c:extLst>
            </c:dLbl>
            <c:dLbl>
              <c:idx val="17"/>
              <c:tx>
                <c:rich>
                  <a:bodyPr/>
                  <a:lstStyle/>
                  <a:p>
                    <a:fld id="{AB8ADC9A-4962-4B90-B35E-70DAA080E93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2-7390-4835-B1EE-6774FBE9BC54}"/>
                </c:ext>
              </c:extLst>
            </c:dLbl>
            <c:dLbl>
              <c:idx val="18"/>
              <c:tx>
                <c:rich>
                  <a:bodyPr/>
                  <a:lstStyle/>
                  <a:p>
                    <a:fld id="{C4BE43ED-C77E-4BBE-851B-3A8270CBE5E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3-7390-4835-B1EE-6774FBE9BC54}"/>
                </c:ext>
              </c:extLst>
            </c:dLbl>
            <c:dLbl>
              <c:idx val="19"/>
              <c:tx>
                <c:rich>
                  <a:bodyPr/>
                  <a:lstStyle/>
                  <a:p>
                    <a:fld id="{57747402-354B-49A3-B89D-E42401FDC4A9}"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4-7390-4835-B1EE-6774FBE9BC54}"/>
                </c:ext>
              </c:extLst>
            </c:dLbl>
            <c:dLbl>
              <c:idx val="20"/>
              <c:tx>
                <c:rich>
                  <a:bodyPr/>
                  <a:lstStyle/>
                  <a:p>
                    <a:fld id="{3054C7EC-AB92-44AC-B1B3-14303118505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5-7390-4835-B1EE-6774FBE9BC54}"/>
                </c:ext>
              </c:extLst>
            </c:dLbl>
            <c:dLbl>
              <c:idx val="21"/>
              <c:tx>
                <c:rich>
                  <a:bodyPr/>
                  <a:lstStyle/>
                  <a:p>
                    <a:fld id="{22E790A1-5309-4618-9ADF-25BFA60383E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6-7390-4835-B1EE-6774FBE9BC54}"/>
                </c:ext>
              </c:extLst>
            </c:dLbl>
            <c:dLbl>
              <c:idx val="22"/>
              <c:tx>
                <c:rich>
                  <a:bodyPr/>
                  <a:lstStyle/>
                  <a:p>
                    <a:fld id="{24308751-BB14-428E-B861-979AB890D0C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7-7390-4835-B1EE-6774FBE9BC54}"/>
                </c:ext>
              </c:extLst>
            </c:dLbl>
            <c:dLbl>
              <c:idx val="23"/>
              <c:tx>
                <c:rich>
                  <a:bodyPr/>
                  <a:lstStyle/>
                  <a:p>
                    <a:fld id="{B86A2B7C-7A4F-4A4F-86F6-71F751509D1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8-7390-4835-B1EE-6774FBE9BC54}"/>
                </c:ext>
              </c:extLst>
            </c:dLbl>
            <c:dLbl>
              <c:idx val="24"/>
              <c:tx>
                <c:rich>
                  <a:bodyPr/>
                  <a:lstStyle/>
                  <a:p>
                    <a:fld id="{B205758D-4F67-4183-BA25-D13474081A1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9-7390-4835-B1EE-6774FBE9BC54}"/>
                </c:ext>
              </c:extLst>
            </c:dLbl>
            <c:dLbl>
              <c:idx val="25"/>
              <c:tx>
                <c:rich>
                  <a:bodyPr/>
                  <a:lstStyle/>
                  <a:p>
                    <a:fld id="{F9939FA6-3D47-45EF-AC2B-8186CD30CC8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A-7390-4835-B1EE-6774FBE9BC54}"/>
                </c:ext>
              </c:extLst>
            </c:dLbl>
            <c:dLbl>
              <c:idx val="26"/>
              <c:tx>
                <c:rich>
                  <a:bodyPr/>
                  <a:lstStyle/>
                  <a:p>
                    <a:fld id="{1212AF8E-385E-495C-A394-FDBC670B5B2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B-7390-4835-B1EE-6774FBE9BC54}"/>
                </c:ext>
              </c:extLst>
            </c:dLbl>
            <c:dLbl>
              <c:idx val="27"/>
              <c:tx>
                <c:rich>
                  <a:bodyPr/>
                  <a:lstStyle/>
                  <a:p>
                    <a:fld id="{8CAFFC92-A07B-4AC3-BEED-D6812C8A0FD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C-7390-4835-B1EE-6774FBE9BC54}"/>
                </c:ext>
              </c:extLst>
            </c:dLbl>
            <c:dLbl>
              <c:idx val="28"/>
              <c:tx>
                <c:rich>
                  <a:bodyPr/>
                  <a:lstStyle/>
                  <a:p>
                    <a:fld id="{900D3F4E-5C54-4DA9-ACF1-D027125C23B3}"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D-7390-4835-B1EE-6774FBE9BC54}"/>
                </c:ext>
              </c:extLst>
            </c:dLbl>
            <c:dLbl>
              <c:idx val="29"/>
              <c:tx>
                <c:rich>
                  <a:bodyPr/>
                  <a:lstStyle/>
                  <a:p>
                    <a:fld id="{FC6E3F01-60FE-4DCD-BF99-F405EB8ABC6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E-7390-4835-B1EE-6774FBE9BC54}"/>
                </c:ext>
              </c:extLst>
            </c:dLbl>
            <c:dLbl>
              <c:idx val="30"/>
              <c:tx>
                <c:rich>
                  <a:bodyPr/>
                  <a:lstStyle/>
                  <a:p>
                    <a:fld id="{E151804F-EEC3-461F-8B59-37C35BB83B38}"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F-7390-4835-B1EE-6774FBE9BC54}"/>
                </c:ext>
              </c:extLst>
            </c:dLbl>
            <c:dLbl>
              <c:idx val="31"/>
              <c:tx>
                <c:rich>
                  <a:bodyPr/>
                  <a:lstStyle/>
                  <a:p>
                    <a:fld id="{F705B1C4-CDE7-4F5C-B5F1-673DF208DD4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0-7390-4835-B1EE-6774FBE9BC54}"/>
                </c:ext>
              </c:extLst>
            </c:dLbl>
            <c:dLbl>
              <c:idx val="32"/>
              <c:tx>
                <c:rich>
                  <a:bodyPr/>
                  <a:lstStyle/>
                  <a:p>
                    <a:fld id="{2093C42F-860F-465C-931D-77D92775B92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1-7390-4835-B1EE-6774FBE9BC54}"/>
                </c:ext>
              </c:extLst>
            </c:dLbl>
            <c:dLbl>
              <c:idx val="33"/>
              <c:tx>
                <c:rich>
                  <a:bodyPr/>
                  <a:lstStyle/>
                  <a:p>
                    <a:fld id="{36A3F2D3-2C7A-4335-8BEE-1DA064C2F9F4}"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2-7390-4835-B1EE-6774FBE9BC54}"/>
                </c:ext>
              </c:extLst>
            </c:dLbl>
            <c:dLbl>
              <c:idx val="34"/>
              <c:tx>
                <c:rich>
                  <a:bodyPr/>
                  <a:lstStyle/>
                  <a:p>
                    <a:fld id="{6DF24AF7-3D35-45DA-908D-BB2590955B9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3-7390-4835-B1EE-6774FBE9BC54}"/>
                </c:ext>
              </c:extLst>
            </c:dLbl>
            <c:dLbl>
              <c:idx val="35"/>
              <c:tx>
                <c:rich>
                  <a:bodyPr/>
                  <a:lstStyle/>
                  <a:p>
                    <a:fld id="{5DB91638-A24F-46C6-948B-ECB46F3BFD1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4-7390-4835-B1EE-6774FBE9BC54}"/>
                </c:ext>
              </c:extLst>
            </c:dLbl>
            <c:dLbl>
              <c:idx val="36"/>
              <c:tx>
                <c:rich>
                  <a:bodyPr/>
                  <a:lstStyle/>
                  <a:p>
                    <a:fld id="{6F539D48-06B3-469E-80FF-AB45491EB9D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5-7390-4835-B1EE-6774FBE9BC54}"/>
                </c:ext>
              </c:extLst>
            </c:dLbl>
            <c:dLbl>
              <c:idx val="37"/>
              <c:tx>
                <c:rich>
                  <a:bodyPr/>
                  <a:lstStyle/>
                  <a:p>
                    <a:fld id="{4D5880D6-D6D7-4F4C-9351-03D23890E044}"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6-7390-4835-B1EE-6774FBE9BC54}"/>
                </c:ext>
              </c:extLst>
            </c:dLbl>
            <c:dLbl>
              <c:idx val="38"/>
              <c:tx>
                <c:rich>
                  <a:bodyPr/>
                  <a:lstStyle/>
                  <a:p>
                    <a:fld id="{F784F8A4-3DB6-419C-809E-6C12213B5323}"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7-7390-4835-B1EE-6774FBE9BC54}"/>
                </c:ext>
              </c:extLst>
            </c:dLbl>
            <c:dLbl>
              <c:idx val="39"/>
              <c:tx>
                <c:rich>
                  <a:bodyPr/>
                  <a:lstStyle/>
                  <a:p>
                    <a:fld id="{7CCB35F1-0CA0-4546-9424-265A339D761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8-7390-4835-B1EE-6774FBE9BC54}"/>
                </c:ext>
              </c:extLst>
            </c:dLbl>
            <c:dLbl>
              <c:idx val="40"/>
              <c:tx>
                <c:rich>
                  <a:bodyPr/>
                  <a:lstStyle/>
                  <a:p>
                    <a:fld id="{140FE5BC-9F61-443E-A9E9-1217130DEBE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9-7390-4835-B1EE-6774FBE9BC54}"/>
                </c:ext>
              </c:extLst>
            </c:dLbl>
            <c:dLbl>
              <c:idx val="41"/>
              <c:tx>
                <c:rich>
                  <a:bodyPr/>
                  <a:lstStyle/>
                  <a:p>
                    <a:fld id="{2D20745C-6C36-4C33-ABB8-974741907C8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A-7390-4835-B1EE-6774FBE9BC54}"/>
                </c:ext>
              </c:extLst>
            </c:dLbl>
            <c:dLbl>
              <c:idx val="42"/>
              <c:tx>
                <c:rich>
                  <a:bodyPr/>
                  <a:lstStyle/>
                  <a:p>
                    <a:fld id="{B92404F5-CA04-40E5-9AB5-0C248917D017}"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B-7390-4835-B1EE-6774FBE9BC54}"/>
                </c:ext>
              </c:extLst>
            </c:dLbl>
            <c:dLbl>
              <c:idx val="43"/>
              <c:tx>
                <c:rich>
                  <a:bodyPr/>
                  <a:lstStyle/>
                  <a:p>
                    <a:fld id="{2B8D5084-C010-4001-866E-EB6A91ED630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C-7390-4835-B1EE-6774FBE9BC54}"/>
                </c:ext>
              </c:extLst>
            </c:dLbl>
            <c:dLbl>
              <c:idx val="44"/>
              <c:tx>
                <c:rich>
                  <a:bodyPr/>
                  <a:lstStyle/>
                  <a:p>
                    <a:fld id="{24003969-ED9E-4EDD-BE74-8457A2009958}"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D-7390-4835-B1EE-6774FBE9BC54}"/>
                </c:ext>
              </c:extLst>
            </c:dLbl>
            <c:dLbl>
              <c:idx val="45"/>
              <c:tx>
                <c:rich>
                  <a:bodyPr/>
                  <a:lstStyle/>
                  <a:p>
                    <a:fld id="{14D5CE22-C9C6-4BC4-B8B3-3B3895E4CAE0}"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E-7390-4835-B1EE-6774FBE9BC54}"/>
                </c:ext>
              </c:extLst>
            </c:dLbl>
            <c:dLbl>
              <c:idx val="46"/>
              <c:tx>
                <c:rich>
                  <a:bodyPr/>
                  <a:lstStyle/>
                  <a:p>
                    <a:fld id="{0D8E4CD3-0D06-418B-981A-18D63F79832A}"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F-7390-4835-B1EE-6774FBE9BC54}"/>
                </c:ext>
              </c:extLst>
            </c:dLbl>
            <c:dLbl>
              <c:idx val="47"/>
              <c:tx>
                <c:rich>
                  <a:bodyPr/>
                  <a:lstStyle/>
                  <a:p>
                    <a:fld id="{DD235FFF-2862-4421-8B85-222ACE6D207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0-7390-4835-B1EE-6774FBE9BC54}"/>
                </c:ext>
              </c:extLst>
            </c:dLbl>
            <c:dLbl>
              <c:idx val="48"/>
              <c:tx>
                <c:rich>
                  <a:bodyPr/>
                  <a:lstStyle/>
                  <a:p>
                    <a:fld id="{AC015A71-BA67-442C-8496-69A8FD38C1FD}"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1-7390-4835-B1EE-6774FBE9BC54}"/>
                </c:ext>
              </c:extLst>
            </c:dLbl>
            <c:dLbl>
              <c:idx val="49"/>
              <c:tx>
                <c:rich>
                  <a:bodyPr/>
                  <a:lstStyle/>
                  <a:p>
                    <a:fld id="{C731816D-38C9-47F0-B23C-A07FD341B781}"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2-7390-4835-B1EE-6774FBE9BC54}"/>
                </c:ext>
              </c:extLst>
            </c:dLbl>
            <c:dLbl>
              <c:idx val="50"/>
              <c:tx>
                <c:rich>
                  <a:bodyPr/>
                  <a:lstStyle/>
                  <a:p>
                    <a:fld id="{91270724-F3A9-4798-B775-3053D8FF2433}"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3-7390-4835-B1EE-6774FBE9BC54}"/>
                </c:ext>
              </c:extLst>
            </c:dLbl>
            <c:dLbl>
              <c:idx val="51"/>
              <c:tx>
                <c:rich>
                  <a:bodyPr/>
                  <a:lstStyle/>
                  <a:p>
                    <a:fld id="{0C5191B0-8861-4A16-86B5-0D7B76741014}"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4-7390-4835-B1EE-6774FBE9BC54}"/>
                </c:ext>
              </c:extLst>
            </c:dLbl>
            <c:dLbl>
              <c:idx val="52"/>
              <c:tx>
                <c:rich>
                  <a:bodyPr/>
                  <a:lstStyle/>
                  <a:p>
                    <a:fld id="{F8C0DB40-3F14-49A3-B46D-D70CE1AE06B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5-7390-4835-B1EE-6774FBE9BC54}"/>
                </c:ext>
              </c:extLst>
            </c:dLbl>
            <c:dLbl>
              <c:idx val="53"/>
              <c:tx>
                <c:rich>
                  <a:bodyPr/>
                  <a:lstStyle/>
                  <a:p>
                    <a:fld id="{5F27F141-DBD9-4DD6-AA48-19B76B205921}"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6-7390-4835-B1EE-6774FBE9BC54}"/>
                </c:ext>
              </c:extLst>
            </c:dLbl>
            <c:dLbl>
              <c:idx val="54"/>
              <c:tx>
                <c:rich>
                  <a:bodyPr/>
                  <a:lstStyle/>
                  <a:p>
                    <a:fld id="{353ED0F0-6610-4AFC-B944-1B7CC53ED4BC}"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7-7390-4835-B1EE-6774FBE9BC54}"/>
                </c:ext>
              </c:extLst>
            </c:dLbl>
            <c:dLbl>
              <c:idx val="55"/>
              <c:tx>
                <c:rich>
                  <a:bodyPr/>
                  <a:lstStyle/>
                  <a:p>
                    <a:fld id="{8575263A-14D2-465C-B135-7908801AFE45}"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8-7390-4835-B1EE-6774FBE9BC54}"/>
                </c:ext>
              </c:extLst>
            </c:dLbl>
            <c:dLbl>
              <c:idx val="56"/>
              <c:tx>
                <c:rich>
                  <a:bodyPr/>
                  <a:lstStyle/>
                  <a:p>
                    <a:fld id="{12965BFD-84DF-4AA4-993C-FEF68E1E4F92}"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9-7390-4835-B1EE-6774FBE9BC54}"/>
                </c:ext>
              </c:extLst>
            </c:dLbl>
            <c:dLbl>
              <c:idx val="57"/>
              <c:tx>
                <c:rich>
                  <a:bodyPr/>
                  <a:lstStyle/>
                  <a:p>
                    <a:fld id="{0CBD20D8-B47D-4153-A527-44B6460CA48C}"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A-7390-4835-B1EE-6774FBE9BC54}"/>
                </c:ext>
              </c:extLst>
            </c:dLbl>
            <c:dLbl>
              <c:idx val="58"/>
              <c:tx>
                <c:rich>
                  <a:bodyPr/>
                  <a:lstStyle/>
                  <a:p>
                    <a:fld id="{EDC3916A-CAF2-4100-9B7D-7FF7335096D1}"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B-7390-4835-B1EE-6774FBE9BC54}"/>
                </c:ext>
              </c:extLst>
            </c:dLbl>
            <c:dLbl>
              <c:idx val="59"/>
              <c:tx>
                <c:rich>
                  <a:bodyPr/>
                  <a:lstStyle/>
                  <a:p>
                    <a:fld id="{09A4A7D2-5382-4322-9E83-0A13DD58FA7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C-7390-4835-B1EE-6774FBE9BC54}"/>
                </c:ext>
              </c:extLst>
            </c:dLbl>
            <c:dLbl>
              <c:idx val="60"/>
              <c:tx>
                <c:rich>
                  <a:bodyPr/>
                  <a:lstStyle/>
                  <a:p>
                    <a:fld id="{ABC3984D-B84D-44EB-9B56-E599F927A9F6}"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D-7390-4835-B1EE-6774FBE9BC54}"/>
                </c:ext>
              </c:extLst>
            </c:dLbl>
            <c:dLbl>
              <c:idx val="61"/>
              <c:tx>
                <c:rich>
                  <a:bodyPr/>
                  <a:lstStyle/>
                  <a:p>
                    <a:fld id="{F92BCE49-1718-4B6A-B3B6-6917E4371BDE}"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E-7390-4835-B1EE-6774FBE9BC54}"/>
                </c:ext>
              </c:extLst>
            </c:dLbl>
            <c:dLbl>
              <c:idx val="62"/>
              <c:tx>
                <c:rich>
                  <a:bodyPr/>
                  <a:lstStyle/>
                  <a:p>
                    <a:fld id="{8EE5106C-40BA-4502-B80F-1CA4831B99CD}" type="CELLRANGE">
                      <a:rPr lang="en-US"/>
                      <a:pPr/>
                      <a:t>[INTERVALLOCELLE]</a:t>
                    </a:fld>
                    <a:endParaRPr lang="it-IT"/>
                  </a:p>
                </c:rich>
              </c:tx>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F-7390-4835-B1EE-6774FBE9BC54}"/>
                </c:ext>
              </c:extLst>
            </c:dLbl>
            <c:dLbl>
              <c:idx val="63"/>
              <c:tx>
                <c:rich>
                  <a:bodyPr/>
                  <a:lstStyle/>
                  <a:p>
                    <a:endParaRPr lang="it-IT"/>
                  </a:p>
                </c:rich>
              </c:tx>
              <c:dLblPos val="t"/>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40-7390-4835-B1EE-6774FBE9BC54}"/>
                </c:ext>
              </c:extLst>
            </c:dLbl>
            <c:numFmt formatCode="General" sourceLinked="0"/>
            <c:spPr>
              <a:solidFill>
                <a:srgbClr val="BF293F"/>
              </a:solidFill>
              <a:ln>
                <a:solidFill>
                  <a:schemeClr val="tx1"/>
                </a:solidFill>
              </a:ln>
              <a:effectLst/>
            </c:spPr>
            <c:txPr>
              <a:bodyPr rot="0" spcFirstLastPara="1" vertOverflow="clip" horzOverflow="clip" vert="horz" wrap="none" lIns="36576" tIns="18288" rIns="36576" bIns="18288" anchor="ctr" anchorCtr="1">
                <a:spAutoFit/>
              </a:bodyPr>
              <a:lstStyle/>
              <a:p>
                <a:pPr>
                  <a:defRPr sz="1000" b="0" i="0" u="none" strike="noStrike" kern="1200" baseline="0">
                    <a:solidFill>
                      <a:schemeClr val="bg1"/>
                    </a:solidFill>
                    <a:latin typeface="+mn-lt"/>
                    <a:ea typeface="+mn-ea"/>
                    <a:cs typeface="+mn-cs"/>
                  </a:defRPr>
                </a:pPr>
                <a:endParaRPr lang="it-IT"/>
              </a:p>
            </c:txPr>
            <c:dLblPos val="t"/>
            <c:showLegendKey val="0"/>
            <c:showVal val="0"/>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DataLabelsRange val="1"/>
                <c15:showLeaderLines val="0"/>
              </c:ext>
            </c:extLst>
          </c:dLbls>
          <c:xVal>
            <c:numRef>
              <c:f>Calculator!$H$190:$H$253</c:f>
              <c:numCache>
                <c:formatCode>0.00</c:formatCode>
                <c:ptCount val="6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numCache>
            </c:numRef>
          </c:xVal>
          <c:yVal>
            <c:numRef>
              <c:f>Calculator!$I$190:$I$253</c:f>
              <c:numCache>
                <c:formatCode>0.00</c:formatCode>
                <c:ptCount val="6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numCache>
            </c:numRef>
          </c:yVal>
          <c:smooth val="0"/>
          <c:extLst>
            <c:ext xmlns:c15="http://schemas.microsoft.com/office/drawing/2012/chart" uri="{02D57815-91ED-43cb-92C2-25804820EDAC}">
              <c15:datalabelsRange>
                <c15:f>Calculator!$B$191:$B$253</c15:f>
                <c15:dlblRangeCache>
                  <c:ptCount val="63"/>
                </c15:dlblRangeCache>
              </c15:datalabelsRange>
            </c:ext>
            <c:ext xmlns:c16="http://schemas.microsoft.com/office/drawing/2014/chart" uri="{C3380CC4-5D6E-409C-BE32-E72D297353CC}">
              <c16:uniqueId val="{00000041-7390-4835-B1EE-6774FBE9BC54}"/>
            </c:ext>
          </c:extLst>
        </c:ser>
        <c:dLbls>
          <c:showLegendKey val="0"/>
          <c:showVal val="0"/>
          <c:showCatName val="0"/>
          <c:showSerName val="0"/>
          <c:showPercent val="0"/>
          <c:showBubbleSize val="0"/>
        </c:dLbls>
        <c:axId val="1954663311"/>
        <c:axId val="1954646255"/>
      </c:scatterChart>
      <c:valAx>
        <c:axId val="1954663311"/>
        <c:scaling>
          <c:orientation val="minMax"/>
          <c:max val="36.787878787878789"/>
          <c:min val="-5"/>
        </c:scaling>
        <c:delete val="0"/>
        <c:axPos val="b"/>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low"/>
        <c:spPr>
          <a:noFill/>
          <a:ln>
            <a:solidFill>
              <a:schemeClr val="tx1">
                <a:lumMod val="25000"/>
                <a:lumOff val="75000"/>
              </a:schemeClr>
            </a:solidFill>
          </a:ln>
          <a:effectLst/>
        </c:spPr>
        <c:txPr>
          <a:bodyPr rot="-60000000" spcFirstLastPara="1" vertOverflow="ellipsis" vert="horz" wrap="square" anchor="ctr" anchorCtr="1"/>
          <a:lstStyle/>
          <a:p>
            <a:pPr algn="ctr">
              <a:defRPr lang="en-US" sz="1000" b="0" i="0" u="none" strike="noStrike" kern="1200" spc="20" baseline="0">
                <a:solidFill>
                  <a:schemeClr val="tx1">
                    <a:lumMod val="65000"/>
                    <a:lumOff val="35000"/>
                  </a:schemeClr>
                </a:solidFill>
                <a:latin typeface="+mj-lt"/>
                <a:ea typeface="+mn-ea"/>
                <a:cs typeface="+mn-cs"/>
              </a:defRPr>
            </a:pPr>
            <a:endParaRPr lang="it-IT"/>
          </a:p>
        </c:txPr>
        <c:crossAx val="1954646255"/>
        <c:crosses val="autoZero"/>
        <c:crossBetween val="midCat"/>
        <c:majorUnit val="5"/>
        <c:minorUnit val="5"/>
      </c:valAx>
      <c:valAx>
        <c:axId val="1954646255"/>
        <c:scaling>
          <c:orientation val="minMax"/>
          <c:max val="11.787878787878787"/>
          <c:min val="-3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high"/>
        <c:spPr>
          <a:noFill/>
          <a:ln>
            <a:noFill/>
          </a:ln>
          <a:effectLst/>
        </c:spPr>
        <c:txPr>
          <a:bodyPr rot="0" spcFirstLastPara="1" vertOverflow="ellipsis" wrap="square" anchor="ctr" anchorCtr="1"/>
          <a:lstStyle/>
          <a:p>
            <a:pPr>
              <a:defRPr sz="1000" b="0" i="0" u="none" strike="noStrike" kern="1200" spc="20" baseline="0">
                <a:solidFill>
                  <a:schemeClr val="tx1">
                    <a:lumMod val="65000"/>
                    <a:lumOff val="35000"/>
                  </a:schemeClr>
                </a:solidFill>
                <a:latin typeface="+mj-lt"/>
                <a:ea typeface="+mn-ea"/>
                <a:cs typeface="+mn-cs"/>
              </a:defRPr>
            </a:pPr>
            <a:endParaRPr lang="it-IT"/>
          </a:p>
        </c:txPr>
        <c:crossAx val="1954663311"/>
        <c:crosses val="autoZero"/>
        <c:crossBetween val="midCat"/>
        <c:majorUnit val="5"/>
        <c:minorUnit val="5"/>
      </c:valAx>
      <c:spPr>
        <a:noFill/>
        <a:ln w="6350">
          <a:solidFill>
            <a:schemeClr val="tx1"/>
          </a:solidFill>
        </a:ln>
        <a:effectLst/>
      </c:spPr>
    </c:plotArea>
    <c:plotVisOnly val="0"/>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lt1"/>
    </a:solidFill>
    <a:ln w="9525" cap="flat" cmpd="sng" algn="ctr">
      <a:solidFill>
        <a:schemeClr val="tx1"/>
      </a:solidFill>
      <a:round/>
    </a:ln>
    <a:effectLst/>
  </c:spPr>
  <c:txPr>
    <a:bodyPr/>
    <a:lstStyle/>
    <a:p>
      <a:pPr>
        <a:defRPr/>
      </a:pPr>
      <a:endParaRPr lang="it-IT"/>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2.4231261648028422E-3"/>
          <c:w val="1"/>
          <c:h val="0.9975765879674674"/>
        </c:manualLayout>
      </c:layout>
      <c:scatterChart>
        <c:scatterStyle val="lineMarker"/>
        <c:varyColors val="0"/>
        <c:ser>
          <c:idx val="0"/>
          <c:order val="0"/>
          <c:tx>
            <c:strRef>
              <c:f>Calculator!$AN$123</c:f>
              <c:strCache>
                <c:ptCount val="1"/>
                <c:pt idx="0">
                  <c:v>Deformata</c:v>
                </c:pt>
              </c:strCache>
            </c:strRef>
          </c:tx>
          <c:spPr>
            <a:ln w="25400" cap="rnd">
              <a:solidFill>
                <a:schemeClr val="accent1">
                  <a:alpha val="60000"/>
                </a:schemeClr>
              </a:solidFill>
              <a:prstDash val="sysDash"/>
              <a:round/>
            </a:ln>
            <a:effectLst/>
          </c:spPr>
          <c:marker>
            <c:symbol val="circle"/>
            <c:size val="6"/>
            <c:spPr>
              <a:noFill/>
              <a:ln w="25400">
                <a:noFill/>
              </a:ln>
              <a:effectLst/>
            </c:spPr>
          </c:marker>
          <c:xVal>
            <c:numRef>
              <c:f>Calculator!$AN$126:$AN$128</c:f>
            </c:numRef>
          </c:xVal>
          <c:yVal>
            <c:numRef>
              <c:f>Calculator!$AO$126:$AO$128</c:f>
              <c:numCache>
                <c:formatCode>0.00</c:formatCode>
                <c:ptCount val="3"/>
                <c:pt idx="0" formatCode="General">
                  <c:v>0</c:v>
                </c:pt>
                <c:pt idx="1">
                  <c:v>0</c:v>
                </c:pt>
                <c:pt idx="2" formatCode="General">
                  <c:v>0</c:v>
                </c:pt>
              </c:numCache>
            </c:numRef>
          </c:yVal>
          <c:smooth val="0"/>
          <c:extLst>
            <c:ext xmlns:c16="http://schemas.microsoft.com/office/drawing/2014/chart" uri="{C3380CC4-5D6E-409C-BE32-E72D297353CC}">
              <c16:uniqueId val="{00000000-E946-43DA-9667-8335FBC7FBA5}"/>
            </c:ext>
          </c:extLst>
        </c:ser>
        <c:ser>
          <c:idx val="1"/>
          <c:order val="1"/>
          <c:tx>
            <c:strRef>
              <c:f>Calculator!$AP$123</c:f>
              <c:strCache>
                <c:ptCount val="1"/>
                <c:pt idx="0">
                  <c:v>A riposo</c:v>
                </c:pt>
              </c:strCache>
            </c:strRef>
          </c:tx>
          <c:spPr>
            <a:ln w="19050" cap="rnd">
              <a:solidFill>
                <a:schemeClr val="accent1">
                  <a:lumMod val="50000"/>
                  <a:alpha val="90000"/>
                </a:schemeClr>
              </a:solidFill>
              <a:prstDash val="dash"/>
              <a:round/>
            </a:ln>
            <a:effectLst/>
          </c:spPr>
          <c:marker>
            <c:symbol val="circle"/>
            <c:size val="12"/>
            <c:spPr>
              <a:solidFill>
                <a:srgbClr val="BF293F"/>
              </a:solidFill>
              <a:ln w="0" cap="sq">
                <a:solidFill>
                  <a:srgbClr val="BF293F"/>
                </a:solidFill>
                <a:bevel/>
              </a:ln>
              <a:effectLst/>
            </c:spPr>
          </c:marker>
          <c:dPt>
            <c:idx val="0"/>
            <c:marker>
              <c:symbol val="circle"/>
              <c:size val="12"/>
              <c:spPr>
                <a:solidFill>
                  <a:srgbClr val="BF293F"/>
                </a:solidFill>
                <a:ln w="0" cap="sq">
                  <a:solidFill>
                    <a:srgbClr val="BF293F"/>
                  </a:solidFill>
                  <a:bevel/>
                </a:ln>
                <a:effectLst/>
              </c:spPr>
            </c:marker>
            <c:bubble3D val="0"/>
            <c:spPr>
              <a:ln w="38100" cap="rnd">
                <a:solidFill>
                  <a:schemeClr val="accent1">
                    <a:lumMod val="50000"/>
                    <a:alpha val="47000"/>
                  </a:schemeClr>
                </a:solidFill>
                <a:prstDash val="solid"/>
                <a:round/>
              </a:ln>
              <a:effectLst/>
            </c:spPr>
            <c:extLst>
              <c:ext xmlns:c16="http://schemas.microsoft.com/office/drawing/2014/chart" uri="{C3380CC4-5D6E-409C-BE32-E72D297353CC}">
                <c16:uniqueId val="{00000008-E946-43DA-9667-8335FBC7FBA5}"/>
              </c:ext>
            </c:extLst>
          </c:dPt>
          <c:dPt>
            <c:idx val="1"/>
            <c:marker>
              <c:symbol val="circle"/>
              <c:size val="12"/>
              <c:spPr>
                <a:solidFill>
                  <a:srgbClr val="BF293F"/>
                </a:solidFill>
                <a:ln w="0" cap="sq">
                  <a:solidFill>
                    <a:srgbClr val="BF293F"/>
                  </a:solidFill>
                  <a:bevel/>
                </a:ln>
                <a:effectLst/>
              </c:spPr>
            </c:marker>
            <c:bubble3D val="0"/>
            <c:spPr>
              <a:ln w="38100" cap="rnd">
                <a:solidFill>
                  <a:schemeClr val="accent1">
                    <a:lumMod val="50000"/>
                    <a:alpha val="90000"/>
                  </a:schemeClr>
                </a:solidFill>
                <a:prstDash val="solid"/>
                <a:round/>
              </a:ln>
              <a:effectLst/>
            </c:spPr>
            <c:extLst>
              <c:ext xmlns:c16="http://schemas.microsoft.com/office/drawing/2014/chart" uri="{C3380CC4-5D6E-409C-BE32-E72D297353CC}">
                <c16:uniqueId val="{00000002-E946-43DA-9667-8335FBC7FBA5}"/>
              </c:ext>
            </c:extLst>
          </c:dPt>
          <c:dPt>
            <c:idx val="2"/>
            <c:marker>
              <c:symbol val="circle"/>
              <c:size val="12"/>
              <c:spPr>
                <a:solidFill>
                  <a:srgbClr val="BF293F"/>
                </a:solidFill>
                <a:ln w="0" cap="sq">
                  <a:solidFill>
                    <a:srgbClr val="BF293F"/>
                  </a:solidFill>
                  <a:bevel/>
                </a:ln>
                <a:effectLst/>
              </c:spPr>
            </c:marker>
            <c:bubble3D val="0"/>
            <c:spPr>
              <a:ln w="38100" cap="rnd">
                <a:solidFill>
                  <a:schemeClr val="accent1">
                    <a:lumMod val="50000"/>
                    <a:alpha val="47000"/>
                  </a:schemeClr>
                </a:solidFill>
                <a:prstDash val="solid"/>
                <a:round/>
              </a:ln>
              <a:effectLst/>
            </c:spPr>
            <c:extLst>
              <c:ext xmlns:c16="http://schemas.microsoft.com/office/drawing/2014/chart" uri="{C3380CC4-5D6E-409C-BE32-E72D297353CC}">
                <c16:uniqueId val="{00000004-E946-43DA-9667-8335FBC7FBA5}"/>
              </c:ext>
            </c:extLst>
          </c:dPt>
          <c:dLbls>
            <c:dLbl>
              <c:idx val="0"/>
              <c:tx>
                <c:rich>
                  <a:bodyPr rot="0" spcFirstLastPara="1" vertOverflow="overflow" horzOverflow="overflow"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mn-lt"/>
                        <a:ea typeface="+mn-ea"/>
                        <a:cs typeface="+mn-cs"/>
                      </a:defRPr>
                    </a:pPr>
                    <a:fld id="{C0753946-6A29-4EF6-A5FB-242958000ECA}" type="CELLRANGE">
                      <a:rPr lang="en-US"/>
                      <a:pPr>
                        <a:defRPr sz="1400" b="1"/>
                      </a:pPr>
                      <a:t>[INTERVALLOCELLE]</a:t>
                    </a:fld>
                    <a:endParaRPr lang="it-IT"/>
                  </a:p>
                </c:rich>
              </c:tx>
              <c:spPr>
                <a:noFill/>
                <a:ln>
                  <a:noFill/>
                </a:ln>
                <a:effectLst/>
              </c:spPr>
              <c:txPr>
                <a:bodyPr rot="0" spcFirstLastPara="1" vertOverflow="overflow" horzOverflow="overflow"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mn-lt"/>
                      <a:ea typeface="+mn-ea"/>
                      <a:cs typeface="+mn-cs"/>
                    </a:defRPr>
                  </a:pPr>
                  <a:endParaRPr lang="it-IT"/>
                </a:p>
              </c:txPr>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8-E946-43DA-9667-8335FBC7FBA5}"/>
                </c:ext>
              </c:extLst>
            </c:dLbl>
            <c:dLbl>
              <c:idx val="1"/>
              <c:tx>
                <c:rich>
                  <a:bodyPr rot="0" spcFirstLastPara="1" vertOverflow="overflow" horzOverflow="overflow"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mn-lt"/>
                        <a:ea typeface="+mn-ea"/>
                        <a:cs typeface="+mn-cs"/>
                      </a:defRPr>
                    </a:pPr>
                    <a:fld id="{DBACE9FC-4D57-471A-9361-C97D5AB183CA}" type="CELLRANGE">
                      <a:rPr lang="it-IT"/>
                      <a:pPr>
                        <a:defRPr sz="1400" b="1"/>
                      </a:pPr>
                      <a:t>[INTERVALLOCELLE]</a:t>
                    </a:fld>
                    <a:endParaRPr lang="it-IT"/>
                  </a:p>
                </c:rich>
              </c:tx>
              <c:spPr>
                <a:noFill/>
                <a:ln>
                  <a:noFill/>
                </a:ln>
                <a:effectLst/>
              </c:spPr>
              <c:txPr>
                <a:bodyPr rot="0" spcFirstLastPara="1" vertOverflow="overflow" horzOverflow="overflow"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mn-lt"/>
                      <a:ea typeface="+mn-ea"/>
                      <a:cs typeface="+mn-cs"/>
                    </a:defRPr>
                  </a:pPr>
                  <a:endParaRPr lang="it-IT"/>
                </a:p>
              </c:txPr>
              <c:dLblPos val="t"/>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2-E946-43DA-9667-8335FBC7FBA5}"/>
                </c:ext>
              </c:extLst>
            </c:dLbl>
            <c:dLbl>
              <c:idx val="2"/>
              <c:tx>
                <c:rich>
                  <a:bodyPr/>
                  <a:lstStyle/>
                  <a:p>
                    <a:endParaRPr lang="it-IT"/>
                  </a:p>
                </c:rich>
              </c:tx>
              <c:dLblPos val="t"/>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4-E946-43DA-9667-8335FBC7FBA5}"/>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mn-lt"/>
                    <a:ea typeface="+mn-ea"/>
                    <a:cs typeface="+mn-cs"/>
                  </a:defRPr>
                </a:pPr>
                <a:endParaRPr lang="it-IT"/>
              </a:p>
            </c:txPr>
            <c:dLblPos val="t"/>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xVal>
            <c:numRef>
              <c:f>Calculator!$AP$126:$AP$128</c:f>
            </c:numRef>
          </c:xVal>
          <c:yVal>
            <c:numRef>
              <c:f>Calculator!$AQ$126:$AQ$128</c:f>
              <c:numCache>
                <c:formatCode>General</c:formatCode>
                <c:ptCount val="3"/>
                <c:pt idx="0">
                  <c:v>0</c:v>
                </c:pt>
                <c:pt idx="1">
                  <c:v>0</c:v>
                </c:pt>
                <c:pt idx="2">
                  <c:v>0</c:v>
                </c:pt>
              </c:numCache>
            </c:numRef>
          </c:yVal>
          <c:smooth val="0"/>
          <c:extLst>
            <c:ext xmlns:c15="http://schemas.microsoft.com/office/drawing/2012/chart" uri="{02D57815-91ED-43cb-92C2-25804820EDAC}">
              <c15:datalabelsRange>
                <c15:f>Calculator!$AM$126:$AM$127</c15:f>
                <c15:dlblRangeCache>
                  <c:ptCount val="2"/>
                </c15:dlblRangeCache>
              </c15:datalabelsRange>
            </c:ext>
            <c:ext xmlns:c16="http://schemas.microsoft.com/office/drawing/2014/chart" uri="{C3380CC4-5D6E-409C-BE32-E72D297353CC}">
              <c16:uniqueId val="{00000009-E946-43DA-9667-8335FBC7FBA5}"/>
            </c:ext>
          </c:extLst>
        </c:ser>
        <c:ser>
          <c:idx val="2"/>
          <c:order val="2"/>
          <c:tx>
            <c:strRef>
              <c:f>Calculator!$AR$123</c:f>
              <c:strCache>
                <c:ptCount val="1"/>
                <c:pt idx="0">
                  <c:v>Freccia</c:v>
                </c:pt>
              </c:strCache>
            </c:strRef>
          </c:tx>
          <c:spPr>
            <a:ln w="25400" cap="sq">
              <a:solidFill>
                <a:srgbClr val="FF0000"/>
              </a:solidFill>
              <a:miter lim="800000"/>
              <a:headEnd type="none"/>
              <a:tailEnd type="arrow" w="lg" len="lg"/>
            </a:ln>
            <a:effectLst/>
          </c:spPr>
          <c:marker>
            <c:symbol val="circle"/>
            <c:size val="6"/>
            <c:spPr>
              <a:solidFill>
                <a:schemeClr val="lt1"/>
              </a:solidFill>
              <a:ln w="38100">
                <a:solidFill>
                  <a:schemeClr val="accent3">
                    <a:alpha val="60000"/>
                  </a:schemeClr>
                </a:solidFill>
              </a:ln>
              <a:effectLst/>
            </c:spPr>
          </c:marker>
          <c:dPt>
            <c:idx val="0"/>
            <c:marker>
              <c:symbol val="circle"/>
              <c:size val="6"/>
              <c:spPr>
                <a:noFill/>
                <a:ln w="38100">
                  <a:noFill/>
                </a:ln>
                <a:effectLst/>
              </c:spPr>
            </c:marker>
            <c:bubble3D val="0"/>
            <c:extLst>
              <c:ext xmlns:c16="http://schemas.microsoft.com/office/drawing/2014/chart" uri="{C3380CC4-5D6E-409C-BE32-E72D297353CC}">
                <c16:uniqueId val="{0000000A-E946-43DA-9667-8335FBC7FBA5}"/>
              </c:ext>
            </c:extLst>
          </c:dPt>
          <c:dPt>
            <c:idx val="1"/>
            <c:marker>
              <c:symbol val="circle"/>
              <c:size val="6"/>
              <c:spPr>
                <a:noFill/>
                <a:ln w="38100">
                  <a:noFill/>
                </a:ln>
                <a:effectLst/>
              </c:spPr>
            </c:marker>
            <c:bubble3D val="0"/>
            <c:extLst>
              <c:ext xmlns:c16="http://schemas.microsoft.com/office/drawing/2014/chart" uri="{C3380CC4-5D6E-409C-BE32-E72D297353CC}">
                <c16:uniqueId val="{0000000B-E946-43DA-9667-8335FBC7FBA5}"/>
              </c:ext>
            </c:extLst>
          </c:dPt>
          <c:dLbls>
            <c:dLbl>
              <c:idx val="0"/>
              <c:layout>
                <c:manualLayout>
                  <c:x val="-3.3055687026241877E-2"/>
                  <c:y val="-0.31636742214198482"/>
                </c:manualLayout>
              </c:layout>
              <c:tx>
                <c:rich>
                  <a:bodyPr rot="0" spcFirstLastPara="1" vertOverflow="ellipsis" vert="horz" wrap="square" lIns="38100" tIns="19050" rIns="38100" bIns="19050" anchor="ctr" anchorCtr="1">
                    <a:spAutoFit/>
                  </a:bodyPr>
                  <a:lstStyle/>
                  <a:p>
                    <a:pPr>
                      <a:defRPr sz="1600" b="1" i="0" u="none" strike="noStrike" kern="1200" baseline="0">
                        <a:solidFill>
                          <a:schemeClr val="accent2"/>
                        </a:solidFill>
                        <a:latin typeface="+mn-lt"/>
                        <a:ea typeface="+mn-ea"/>
                        <a:cs typeface="+mn-cs"/>
                      </a:defRPr>
                    </a:pPr>
                    <a:fld id="{881AA781-38D7-463F-8602-27E11AA59F2C}" type="CELLRANGE">
                      <a:rPr lang="en-US" sz="1600" b="1">
                        <a:solidFill>
                          <a:schemeClr val="accent2"/>
                        </a:solidFill>
                      </a:rPr>
                      <a:pPr>
                        <a:defRPr sz="1600" b="1">
                          <a:solidFill>
                            <a:schemeClr val="accent2"/>
                          </a:solidFill>
                        </a:defRPr>
                      </a:pPr>
                      <a:t>[INTERVALLOCELLE]</a:t>
                    </a:fld>
                    <a:endParaRPr lang="it-IT"/>
                  </a:p>
                </c:rich>
              </c:tx>
              <c:spPr>
                <a:noFill/>
                <a:ln>
                  <a:noFill/>
                </a:ln>
                <a:effectLst/>
              </c:spPr>
              <c:txPr>
                <a:bodyPr rot="0" spcFirstLastPara="1" vertOverflow="ellipsis" vert="horz" wrap="square" lIns="38100" tIns="19050" rIns="38100" bIns="19050" anchor="ctr" anchorCtr="1">
                  <a:spAutoFit/>
                </a:bodyPr>
                <a:lstStyle/>
                <a:p>
                  <a:pPr>
                    <a:defRPr sz="1600" b="1" i="0" u="none" strike="noStrike" kern="1200" baseline="0">
                      <a:solidFill>
                        <a:schemeClr val="accent2"/>
                      </a:solidFill>
                      <a:latin typeface="+mn-lt"/>
                      <a:ea typeface="+mn-ea"/>
                      <a:cs typeface="+mn-cs"/>
                    </a:defRPr>
                  </a:pPr>
                  <a:endParaRPr lang="it-IT"/>
                </a:p>
              </c:txPr>
              <c:dLblPos val="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A-E946-43DA-9667-8335FBC7FBA5}"/>
                </c:ext>
              </c:extLst>
            </c:dLbl>
            <c:dLbl>
              <c:idx val="1"/>
              <c:layout>
                <c:manualLayout>
                  <c:x val="-0.16652283437904566"/>
                  <c:y val="6.7074070435584943E-2"/>
                </c:manualLayout>
              </c:layout>
              <c:tx>
                <c:rich>
                  <a:bodyPr rot="0" spcFirstLastPara="1" vertOverflow="ellipsis" vert="horz" wrap="square" lIns="38100" tIns="19050" rIns="38100" bIns="19050" anchor="ctr" anchorCtr="1">
                    <a:noAutofit/>
                  </a:bodyPr>
                  <a:lstStyle/>
                  <a:p>
                    <a:pPr>
                      <a:defRPr sz="1400" b="1" i="0" u="none" strike="noStrike" kern="1200" baseline="0">
                        <a:solidFill>
                          <a:srgbClr val="FF0000"/>
                        </a:solidFill>
                        <a:latin typeface="+mn-lt"/>
                        <a:ea typeface="+mn-ea"/>
                        <a:cs typeface="+mn-cs"/>
                      </a:defRPr>
                    </a:pPr>
                    <a:fld id="{A18925A9-8CEF-4A9B-9668-10A62FBE915F}" type="CELLRANGE">
                      <a:rPr lang="en-US"/>
                      <a:pPr>
                        <a:defRPr sz="1400" b="1">
                          <a:solidFill>
                            <a:srgbClr val="FF0000"/>
                          </a:solidFill>
                        </a:defRPr>
                      </a:pPr>
                      <a:t>[INTERVALLOCELLE]</a:t>
                    </a:fld>
                    <a:endParaRPr lang="it-IT"/>
                  </a:p>
                </c:rich>
              </c:tx>
              <c:spPr>
                <a:noFill/>
                <a:ln>
                  <a:noFill/>
                </a:ln>
                <a:effectLst/>
              </c:spPr>
              <c:txPr>
                <a:bodyPr rot="0" spcFirstLastPara="1" vertOverflow="ellipsis" vert="horz" wrap="square" lIns="38100" tIns="19050" rIns="38100" bIns="19050" anchor="ctr" anchorCtr="1">
                  <a:noAutofit/>
                </a:bodyPr>
                <a:lstStyle/>
                <a:p>
                  <a:pPr>
                    <a:defRPr sz="1400" b="1" i="0" u="none" strike="noStrike" kern="1200" baseline="0">
                      <a:solidFill>
                        <a:srgbClr val="FF0000"/>
                      </a:solidFill>
                      <a:latin typeface="+mn-lt"/>
                      <a:ea typeface="+mn-ea"/>
                      <a:cs typeface="+mn-cs"/>
                    </a:defRPr>
                  </a:pPr>
                  <a:endParaRPr lang="it-IT"/>
                </a:p>
              </c:txPr>
              <c:dLblPos val="r"/>
              <c:showLegendKey val="0"/>
              <c:showVal val="0"/>
              <c:showCatName val="0"/>
              <c:showSerName val="0"/>
              <c:showPercent val="0"/>
              <c:showBubbleSize val="0"/>
              <c:extLst>
                <c:ext xmlns:c15="http://schemas.microsoft.com/office/drawing/2012/chart" uri="{CE6537A1-D6FC-4f65-9D91-7224C49458BB}">
                  <c15:layout>
                    <c:manualLayout>
                      <c:w val="0.31744207100174543"/>
                      <c:h val="0.11048732839761735"/>
                    </c:manualLayout>
                  </c15:layout>
                  <c15:dlblFieldTable/>
                  <c15:showDataLabelsRange val="1"/>
                </c:ext>
                <c:ext xmlns:c16="http://schemas.microsoft.com/office/drawing/2014/chart" uri="{C3380CC4-5D6E-409C-BE32-E72D297353CC}">
                  <c16:uniqueId val="{0000000B-E946-43DA-9667-8335FBC7FBA5}"/>
                </c:ext>
              </c:extLst>
            </c:dLbl>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accent4">
                        <a:lumMod val="50000"/>
                      </a:schemeClr>
                    </a:solidFill>
                    <a:latin typeface="+mn-lt"/>
                    <a:ea typeface="+mn-ea"/>
                    <a:cs typeface="+mn-cs"/>
                  </a:defRPr>
                </a:pPr>
                <a:endParaRPr lang="it-IT"/>
              </a:p>
            </c:txPr>
            <c:dLblPos val="t"/>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xVal>
            <c:numRef>
              <c:f>Calculator!$AR$126:$AR$127</c:f>
            </c:numRef>
          </c:xVal>
          <c:yVal>
            <c:numRef>
              <c:f>Calculator!$AS$126:$AS$127</c:f>
              <c:numCache>
                <c:formatCode>0.00</c:formatCode>
                <c:ptCount val="2"/>
                <c:pt idx="0" formatCode="General">
                  <c:v>0</c:v>
                </c:pt>
                <c:pt idx="1">
                  <c:v>0</c:v>
                </c:pt>
              </c:numCache>
            </c:numRef>
          </c:yVal>
          <c:smooth val="0"/>
          <c:extLst>
            <c:ext xmlns:c15="http://schemas.microsoft.com/office/drawing/2012/chart" uri="{02D57815-91ED-43cb-92C2-25804820EDAC}">
              <c15:datalabelsRange>
                <c15:f>Calculator!$AR$112:$AR$113</c15:f>
                <c15:dlblRangeCache>
                  <c:ptCount val="2"/>
                </c15:dlblRangeCache>
              </c15:datalabelsRange>
            </c:ext>
            <c:ext xmlns:c16="http://schemas.microsoft.com/office/drawing/2014/chart" uri="{C3380CC4-5D6E-409C-BE32-E72D297353CC}">
              <c16:uniqueId val="{0000000C-E946-43DA-9667-8335FBC7FBA5}"/>
            </c:ext>
          </c:extLst>
        </c:ser>
        <c:ser>
          <c:idx val="3"/>
          <c:order val="3"/>
          <c:tx>
            <c:strRef>
              <c:f>Calculator!$AM$134</c:f>
              <c:strCache>
                <c:ptCount val="1"/>
                <c:pt idx="0">
                  <c:v>Limite infSIX</c:v>
                </c:pt>
              </c:strCache>
            </c:strRef>
          </c:tx>
          <c:spPr>
            <a:ln w="19050" cap="rnd">
              <a:noFill/>
              <a:round/>
            </a:ln>
            <a:effectLst/>
          </c:spPr>
          <c:marker>
            <c:symbol val="circle"/>
            <c:size val="6"/>
            <c:spPr>
              <a:noFill/>
              <a:ln w="38100">
                <a:noFill/>
              </a:ln>
              <a:effectLst/>
            </c:spPr>
          </c:marker>
          <c:xVal>
            <c:numRef>
              <c:f>Calculator!$AM$137</c:f>
              <c:numCache>
                <c:formatCode>General</c:formatCode>
                <c:ptCount val="1"/>
                <c:pt idx="0">
                  <c:v>-2</c:v>
                </c:pt>
              </c:numCache>
            </c:numRef>
          </c:xVal>
          <c:yVal>
            <c:numRef>
              <c:f>Calculator!$AN$137</c:f>
              <c:numCache>
                <c:formatCode>0.000</c:formatCode>
                <c:ptCount val="1"/>
                <c:pt idx="0">
                  <c:v>-2</c:v>
                </c:pt>
              </c:numCache>
            </c:numRef>
          </c:yVal>
          <c:smooth val="0"/>
          <c:extLst>
            <c:ext xmlns:c16="http://schemas.microsoft.com/office/drawing/2014/chart" uri="{C3380CC4-5D6E-409C-BE32-E72D297353CC}">
              <c16:uniqueId val="{0000000D-E946-43DA-9667-8335FBC7FBA5}"/>
            </c:ext>
          </c:extLst>
        </c:ser>
        <c:ser>
          <c:idx val="4"/>
          <c:order val="4"/>
          <c:tx>
            <c:strRef>
              <c:f>Calculator!$AO$131</c:f>
              <c:strCache>
                <c:ptCount val="1"/>
                <c:pt idx="0">
                  <c:v>Limite SupDx</c:v>
                </c:pt>
              </c:strCache>
            </c:strRef>
          </c:tx>
          <c:spPr>
            <a:ln w="19050" cap="rnd">
              <a:noFill/>
              <a:round/>
            </a:ln>
            <a:effectLst/>
          </c:spPr>
          <c:marker>
            <c:symbol val="circle"/>
            <c:size val="6"/>
            <c:spPr>
              <a:noFill/>
              <a:ln w="38100">
                <a:noFill/>
              </a:ln>
              <a:effectLst/>
            </c:spPr>
          </c:marker>
          <c:xVal>
            <c:numRef>
              <c:f>Calculator!$AO$134</c:f>
              <c:numCache>
                <c:formatCode>General</c:formatCode>
                <c:ptCount val="1"/>
                <c:pt idx="0">
                  <c:v>2</c:v>
                </c:pt>
              </c:numCache>
            </c:numRef>
          </c:xVal>
          <c:yVal>
            <c:numLit>
              <c:formatCode>General</c:formatCode>
              <c:ptCount val="1"/>
              <c:pt idx="0">
                <c:v>17</c:v>
              </c:pt>
            </c:numLit>
          </c:yVal>
          <c:smooth val="0"/>
          <c:extLst>
            <c:ext xmlns:c16="http://schemas.microsoft.com/office/drawing/2014/chart" uri="{C3380CC4-5D6E-409C-BE32-E72D297353CC}">
              <c16:uniqueId val="{0000000E-E946-43DA-9667-8335FBC7FBA5}"/>
            </c:ext>
          </c:extLst>
        </c:ser>
        <c:ser>
          <c:idx val="5"/>
          <c:order val="5"/>
          <c:tx>
            <c:v>Dimensione Tratto</c:v>
          </c:tx>
          <c:spPr>
            <a:ln w="15875" cap="flat">
              <a:solidFill>
                <a:schemeClr val="accent2">
                  <a:alpha val="60000"/>
                </a:schemeClr>
              </a:solidFill>
              <a:bevel/>
              <a:headEnd type="arrow" w="lg" len="med"/>
              <a:tailEnd type="arrow" w="lg" len="med"/>
            </a:ln>
            <a:effectLst/>
          </c:spPr>
          <c:marker>
            <c:symbol val="circle"/>
            <c:size val="6"/>
            <c:spPr>
              <a:noFill/>
              <a:ln w="38100">
                <a:noFill/>
              </a:ln>
              <a:effectLst/>
            </c:spPr>
          </c:marker>
          <c:xVal>
            <c:numRef>
              <c:f>Calculator!$AU$124:$AU$125</c:f>
            </c:numRef>
          </c:xVal>
          <c:yVal>
            <c:numRef>
              <c:f>Calculator!$AV$124:$AV$125</c:f>
              <c:numCache>
                <c:formatCode>General</c:formatCode>
                <c:ptCount val="2"/>
                <c:pt idx="0">
                  <c:v>2</c:v>
                </c:pt>
                <c:pt idx="1">
                  <c:v>2</c:v>
                </c:pt>
              </c:numCache>
            </c:numRef>
          </c:yVal>
          <c:smooth val="0"/>
          <c:extLst>
            <c:ext xmlns:c16="http://schemas.microsoft.com/office/drawing/2014/chart" uri="{C3380CC4-5D6E-409C-BE32-E72D297353CC}">
              <c16:uniqueId val="{0000000F-E946-43DA-9667-8335FBC7FBA5}"/>
            </c:ext>
          </c:extLst>
        </c:ser>
        <c:dLbls>
          <c:showLegendKey val="0"/>
          <c:showVal val="0"/>
          <c:showCatName val="0"/>
          <c:showSerName val="0"/>
          <c:showPercent val="0"/>
          <c:showBubbleSize val="0"/>
        </c:dLbls>
        <c:axId val="1954663311"/>
        <c:axId val="1954646255"/>
      </c:scatterChart>
      <c:valAx>
        <c:axId val="1954663311"/>
        <c:scaling>
          <c:orientation val="minMax"/>
          <c:max val="17"/>
          <c:min val="-2"/>
        </c:scaling>
        <c:delete val="1"/>
        <c:axPos val="b"/>
        <c:majorGridlines>
          <c:spPr>
            <a:ln w="6350" cap="flat" cmpd="sng" algn="ctr">
              <a:solidFill>
                <a:schemeClr val="tx1">
                  <a:lumMod val="15000"/>
                  <a:lumOff val="85000"/>
                  <a:alpha val="49000"/>
                </a:schemeClr>
              </a:solidFill>
              <a:round/>
            </a:ln>
            <a:effectLst/>
          </c:spPr>
        </c:majorGridlines>
        <c:numFmt formatCode="0" sourceLinked="0"/>
        <c:majorTickMark val="out"/>
        <c:minorTickMark val="none"/>
        <c:tickLblPos val="high"/>
        <c:crossAx val="1954646255"/>
        <c:crosses val="autoZero"/>
        <c:crossBetween val="midCat"/>
        <c:majorUnit val="1"/>
        <c:minorUnit val="1"/>
      </c:valAx>
      <c:valAx>
        <c:axId val="1954646255"/>
        <c:scaling>
          <c:orientation val="minMax"/>
          <c:max val="3"/>
          <c:min val="-5"/>
        </c:scaling>
        <c:delete val="1"/>
        <c:axPos val="l"/>
        <c:majorGridlines>
          <c:spPr>
            <a:ln w="6350" cap="flat" cmpd="sng" algn="ctr">
              <a:solidFill>
                <a:schemeClr val="tx1">
                  <a:lumMod val="15000"/>
                  <a:lumOff val="85000"/>
                  <a:alpha val="51000"/>
                </a:schemeClr>
              </a:solidFill>
              <a:round/>
            </a:ln>
            <a:effectLst/>
          </c:spPr>
        </c:majorGridlines>
        <c:numFmt formatCode="0" sourceLinked="0"/>
        <c:majorTickMark val="out"/>
        <c:minorTickMark val="none"/>
        <c:tickLblPos val="high"/>
        <c:crossAx val="1954663311"/>
        <c:crosses val="autoZero"/>
        <c:crossBetween val="midCat"/>
        <c:majorUnit val="1"/>
      </c:valAx>
      <c:spPr>
        <a:noFill/>
        <a:ln w="9525">
          <a:solidFill>
            <a:schemeClr val="tx1"/>
          </a:solidFill>
        </a:ln>
        <a:effectLst/>
      </c:spPr>
    </c:plotArea>
    <c:plotVisOnly val="0"/>
    <c:dispBlanksAs val="zero"/>
    <c:extLst>
      <c:ext xmlns:c16r3="http://schemas.microsoft.com/office/drawing/2017/03/chart" uri="{56B9EC1D-385E-4148-901F-78D8002777C0}">
        <c16r3:dataDisplayOptions16>
          <c16r3:dispNaAsBlank val="1"/>
        </c16r3:dataDisplayOptions16>
      </c:ext>
    </c:extLst>
    <c:showDLblsOverMax val="0"/>
  </c:chart>
  <c:spPr>
    <a:noFill/>
    <a:ln w="12700" cap="flat" cmpd="sng" algn="ctr">
      <a:solidFill>
        <a:schemeClr val="tx1"/>
      </a:solidFill>
      <a:round/>
    </a:ln>
    <a:effectLst/>
  </c:spPr>
  <c:txPr>
    <a:bodyPr/>
    <a:lstStyle/>
    <a:p>
      <a:pPr>
        <a:defRPr/>
      </a:pPr>
      <a:endParaRPr lang="it-IT"/>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a:solidFill>
          <a:schemeClr val="tx1">
            <a:lumMod val="15000"/>
            <a:lumOff val="85000"/>
          </a:schemeClr>
        </a:solidFill>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19050" cap="rnd">
        <a:solidFill>
          <a:schemeClr val="phClr">
            <a:alpha val="60000"/>
          </a:schemeClr>
        </a:solidFill>
        <a:round/>
      </a:ln>
    </cs:spPr>
  </cs:dataPointLine>
  <cs:dataPointMarker>
    <cs:lnRef idx="0">
      <cs:styleClr val="auto"/>
    </cs:lnRef>
    <cs:fillRef idx="0">
      <cs:styleClr val="auto"/>
    </cs:fillRef>
    <cs:effectRef idx="0"/>
    <cs:fontRef idx="minor">
      <a:schemeClr val="dk1"/>
    </cs:fontRef>
    <cs:spPr>
      <a:solidFill>
        <a:schemeClr val="lt1"/>
      </a:solidFill>
      <a:ln w="38100">
        <a:solidFill>
          <a:schemeClr val="phClr">
            <a:alpha val="60000"/>
          </a:schemeClr>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15000"/>
            <a:lumOff val="8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a:solidFill>
          <a:schemeClr val="tx1">
            <a:lumMod val="15000"/>
            <a:lumOff val="85000"/>
          </a:schemeClr>
        </a:solidFill>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a:solidFill>
          <a:schemeClr val="tx1">
            <a:lumMod val="25000"/>
            <a:lumOff val="75000"/>
          </a:schemeClr>
        </a:solidFill>
      </a:ln>
    </cs:spPr>
    <cs:defRPr sz="900" kern="1200" spc="20" baseline="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4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a:solidFill>
          <a:schemeClr val="tx1">
            <a:lumMod val="15000"/>
            <a:lumOff val="85000"/>
          </a:schemeClr>
        </a:solidFill>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19050" cap="rnd">
        <a:solidFill>
          <a:schemeClr val="phClr">
            <a:alpha val="60000"/>
          </a:schemeClr>
        </a:solidFill>
        <a:round/>
      </a:ln>
    </cs:spPr>
  </cs:dataPointLine>
  <cs:dataPointMarker>
    <cs:lnRef idx="0">
      <cs:styleClr val="auto"/>
    </cs:lnRef>
    <cs:fillRef idx="0">
      <cs:styleClr val="auto"/>
    </cs:fillRef>
    <cs:effectRef idx="0"/>
    <cs:fontRef idx="minor">
      <a:schemeClr val="dk1"/>
    </cs:fontRef>
    <cs:spPr>
      <a:solidFill>
        <a:schemeClr val="lt1"/>
      </a:solidFill>
      <a:ln w="38100">
        <a:solidFill>
          <a:schemeClr val="phClr">
            <a:alpha val="60000"/>
          </a:schemeClr>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15000"/>
            <a:lumOff val="8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a:solidFill>
          <a:schemeClr val="tx1">
            <a:lumMod val="15000"/>
            <a:lumOff val="85000"/>
          </a:schemeClr>
        </a:solidFill>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a:solidFill>
          <a:schemeClr val="tx1">
            <a:lumMod val="25000"/>
            <a:lumOff val="75000"/>
          </a:schemeClr>
        </a:solidFill>
      </a:ln>
    </cs:spPr>
    <cs:defRPr sz="900" kern="1200" spc="20" baseline="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4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a:solidFill>
          <a:schemeClr val="tx1">
            <a:lumMod val="15000"/>
            <a:lumOff val="85000"/>
          </a:schemeClr>
        </a:solidFill>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19050" cap="rnd">
        <a:solidFill>
          <a:schemeClr val="phClr">
            <a:alpha val="60000"/>
          </a:schemeClr>
        </a:solidFill>
        <a:round/>
      </a:ln>
    </cs:spPr>
  </cs:dataPointLine>
  <cs:dataPointMarker>
    <cs:lnRef idx="0">
      <cs:styleClr val="auto"/>
    </cs:lnRef>
    <cs:fillRef idx="0">
      <cs:styleClr val="auto"/>
    </cs:fillRef>
    <cs:effectRef idx="0"/>
    <cs:fontRef idx="minor">
      <a:schemeClr val="dk1"/>
    </cs:fontRef>
    <cs:spPr>
      <a:solidFill>
        <a:schemeClr val="lt1"/>
      </a:solidFill>
      <a:ln w="38100">
        <a:solidFill>
          <a:schemeClr val="phClr">
            <a:alpha val="60000"/>
          </a:schemeClr>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15000"/>
            <a:lumOff val="8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a:solidFill>
          <a:schemeClr val="tx1">
            <a:lumMod val="15000"/>
            <a:lumOff val="85000"/>
          </a:schemeClr>
        </a:solidFill>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a:solidFill>
          <a:schemeClr val="tx1">
            <a:lumMod val="25000"/>
            <a:lumOff val="75000"/>
          </a:schemeClr>
        </a:solidFill>
      </a:ln>
    </cs:spPr>
    <cs:defRPr sz="900" kern="1200" spc="20" baseline="0"/>
  </cs:valueAxis>
  <cs:wall>
    <cs:lnRef idx="0"/>
    <cs:fillRef idx="0"/>
    <cs:effectRef idx="0"/>
    <cs:fontRef idx="minor">
      <a:schemeClr val="dk1"/>
    </cs:fontRef>
  </cs:wall>
</cs:chartStyle>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13" Type="http://schemas.openxmlformats.org/officeDocument/2006/relationships/image" Target="../media/image12.png"/><Relationship Id="rId18" Type="http://schemas.openxmlformats.org/officeDocument/2006/relationships/image" Target="../media/image17.png"/><Relationship Id="rId3" Type="http://schemas.openxmlformats.org/officeDocument/2006/relationships/image" Target="../media/image3.png"/><Relationship Id="rId21" Type="http://schemas.openxmlformats.org/officeDocument/2006/relationships/image" Target="../media/image18.png"/><Relationship Id="rId7" Type="http://schemas.openxmlformats.org/officeDocument/2006/relationships/image" Target="../media/image6.png"/><Relationship Id="rId12" Type="http://schemas.openxmlformats.org/officeDocument/2006/relationships/image" Target="../media/image11.png"/><Relationship Id="rId17" Type="http://schemas.openxmlformats.org/officeDocument/2006/relationships/image" Target="../media/image16.png"/><Relationship Id="rId2" Type="http://schemas.openxmlformats.org/officeDocument/2006/relationships/image" Target="../media/image2.png"/><Relationship Id="rId16" Type="http://schemas.openxmlformats.org/officeDocument/2006/relationships/image" Target="../media/image15.png"/><Relationship Id="rId20" Type="http://schemas.openxmlformats.org/officeDocument/2006/relationships/chart" Target="../charts/chart3.xml"/><Relationship Id="rId1" Type="http://schemas.openxmlformats.org/officeDocument/2006/relationships/image" Target="../media/image1.png"/><Relationship Id="rId6" Type="http://schemas.openxmlformats.org/officeDocument/2006/relationships/chart" Target="../charts/chart1.xml"/><Relationship Id="rId11" Type="http://schemas.openxmlformats.org/officeDocument/2006/relationships/image" Target="../media/image10.png"/><Relationship Id="rId5" Type="http://schemas.openxmlformats.org/officeDocument/2006/relationships/image" Target="../media/image5.png"/><Relationship Id="rId15" Type="http://schemas.openxmlformats.org/officeDocument/2006/relationships/image" Target="../media/image14.png"/><Relationship Id="rId10" Type="http://schemas.openxmlformats.org/officeDocument/2006/relationships/image" Target="../media/image9.png"/><Relationship Id="rId19" Type="http://schemas.openxmlformats.org/officeDocument/2006/relationships/chart" Target="../charts/chart2.xml"/><Relationship Id="rId4" Type="http://schemas.openxmlformats.org/officeDocument/2006/relationships/image" Target="../media/image4.svg"/><Relationship Id="rId9" Type="http://schemas.openxmlformats.org/officeDocument/2006/relationships/image" Target="../media/image8.png"/><Relationship Id="rId14" Type="http://schemas.openxmlformats.org/officeDocument/2006/relationships/image" Target="../media/image13.png"/><Relationship Id="rId22" Type="http://schemas.openxmlformats.org/officeDocument/2006/relationships/image" Target="../media/image19.png"/></Relationships>
</file>

<file path=xl/drawings/_rels/drawing2.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jpeg"/><Relationship Id="rId1" Type="http://schemas.openxmlformats.org/officeDocument/2006/relationships/image" Target="../media/image22.png"/></Relationships>
</file>

<file path=xl/drawings/_rels/drawing3.xml.rels><?xml version="1.0" encoding="UTF-8" standalone="yes"?>
<Relationships xmlns="http://schemas.openxmlformats.org/package/2006/relationships"><Relationship Id="rId3" Type="http://schemas.openxmlformats.org/officeDocument/2006/relationships/image" Target="../media/image26.emf"/><Relationship Id="rId2" Type="http://schemas.openxmlformats.org/officeDocument/2006/relationships/image" Target="../media/image11.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28.svg"/><Relationship Id="rId1" Type="http://schemas.openxmlformats.org/officeDocument/2006/relationships/image" Target="../media/image27.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5.jpeg"/></Relationships>
</file>

<file path=xl/drawings/drawing1.xml><?xml version="1.0" encoding="utf-8"?>
<xdr:wsDr xmlns:xdr="http://schemas.openxmlformats.org/drawingml/2006/spreadsheetDrawing" xmlns:a="http://schemas.openxmlformats.org/drawingml/2006/main">
  <xdr:twoCellAnchor>
    <xdr:from>
      <xdr:col>3</xdr:col>
      <xdr:colOff>53</xdr:colOff>
      <xdr:row>1</xdr:row>
      <xdr:rowOff>67347</xdr:rowOff>
    </xdr:from>
    <xdr:to>
      <xdr:col>12</xdr:col>
      <xdr:colOff>0</xdr:colOff>
      <xdr:row>1</xdr:row>
      <xdr:rowOff>350390</xdr:rowOff>
    </xdr:to>
    <xdr:sp macro="" textlink="Trads!A601">
      <xdr:nvSpPr>
        <xdr:cNvPr id="7" name="TowerText">
          <a:extLst>
            <a:ext uri="{FF2B5EF4-FFF2-40B4-BE49-F238E27FC236}">
              <a16:creationId xmlns:a16="http://schemas.microsoft.com/office/drawing/2014/main" id="{00000000-0008-0000-0000-000007000000}"/>
            </a:ext>
          </a:extLst>
        </xdr:cNvPr>
        <xdr:cNvSpPr txBox="1"/>
      </xdr:nvSpPr>
      <xdr:spPr>
        <a:xfrm>
          <a:off x="1337401" y="904392"/>
          <a:ext cx="7523735" cy="283043"/>
        </a:xfrm>
        <a:prstGeom prst="rect">
          <a:avLst/>
        </a:prstGeom>
        <a:solidFill>
          <a:schemeClr val="tx1"/>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fld id="{98D9D19F-6F22-484F-A09B-96230CE43CFB}" type="TxLink">
            <a:rPr lang="en-US" sz="2000" b="0" i="0" u="none" strike="noStrike">
              <a:solidFill>
                <a:schemeClr val="bg1"/>
              </a:solidFill>
              <a:latin typeface="Verdana"/>
              <a:ea typeface="Verdana"/>
            </a:rPr>
            <a:pPr algn="ctr"/>
            <a:t>Calcolo del sistema linea vita "PATROL"</a:t>
          </a:fld>
          <a:endParaRPr lang="it-IT" sz="2000" b="1">
            <a:solidFill>
              <a:schemeClr val="bg1"/>
            </a:solidFill>
          </a:endParaRPr>
        </a:p>
      </xdr:txBody>
    </xdr:sp>
    <xdr:clientData/>
  </xdr:twoCellAnchor>
  <xdr:twoCellAnchor editAs="oneCell">
    <xdr:from>
      <xdr:col>12</xdr:col>
      <xdr:colOff>26077</xdr:colOff>
      <xdr:row>3</xdr:row>
      <xdr:rowOff>1995</xdr:rowOff>
    </xdr:from>
    <xdr:to>
      <xdr:col>12</xdr:col>
      <xdr:colOff>605079</xdr:colOff>
      <xdr:row>7</xdr:row>
      <xdr:rowOff>34529</xdr:rowOff>
    </xdr:to>
    <xdr:pic macro="[0]!Zoom_Tutto">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
        <a:stretch>
          <a:fillRect/>
        </a:stretch>
      </xdr:blipFill>
      <xdr:spPr>
        <a:xfrm>
          <a:off x="8887213" y="713965"/>
          <a:ext cx="571382" cy="525217"/>
        </a:xfrm>
        <a:prstGeom prst="rect">
          <a:avLst/>
        </a:prstGeom>
      </xdr:spPr>
    </xdr:pic>
    <xdr:clientData fPrintsWithSheet="0"/>
  </xdr:twoCellAnchor>
  <xdr:twoCellAnchor editAs="oneCell">
    <xdr:from>
      <xdr:col>12</xdr:col>
      <xdr:colOff>617223</xdr:colOff>
      <xdr:row>4</xdr:row>
      <xdr:rowOff>8818</xdr:rowOff>
    </xdr:from>
    <xdr:to>
      <xdr:col>13</xdr:col>
      <xdr:colOff>152694</xdr:colOff>
      <xdr:row>6</xdr:row>
      <xdr:rowOff>152493</xdr:rowOff>
    </xdr:to>
    <xdr:pic macro="[0]!Zoom_100">
      <xdr:nvPicPr>
        <xdr:cNvPr id="9" name="Immagine 8" descr="100%, in, magnifier, out, zoom icon - Download on Iconfinder">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78359" y="778515"/>
          <a:ext cx="401380" cy="393826"/>
        </a:xfrm>
        <a:prstGeom prst="rect">
          <a:avLst/>
        </a:prstGeom>
        <a:noFill/>
        <a:extLst>
          <a:ext uri="{909E8E84-426E-40DD-AFC4-6F175D3DCCD1}">
            <a14:hiddenFill xmlns:a14="http://schemas.microsoft.com/office/drawing/2010/main">
              <a:solidFill>
                <a:srgbClr val="FFFFFF"/>
              </a:solidFill>
            </a14:hiddenFill>
          </a:ext>
        </a:extLst>
      </xdr:spPr>
    </xdr:pic>
    <xdr:clientData fPrintsWithSheet="0"/>
  </xdr:twoCellAnchor>
  <xdr:twoCellAnchor editAs="oneCell">
    <xdr:from>
      <xdr:col>2</xdr:col>
      <xdr:colOff>0</xdr:colOff>
      <xdr:row>16</xdr:row>
      <xdr:rowOff>580005</xdr:rowOff>
    </xdr:from>
    <xdr:to>
      <xdr:col>4</xdr:col>
      <xdr:colOff>301464</xdr:colOff>
      <xdr:row>17</xdr:row>
      <xdr:rowOff>0</xdr:rowOff>
    </xdr:to>
    <xdr:grpSp>
      <xdr:nvGrpSpPr>
        <xdr:cNvPr id="10" name="CancelTutto">
          <a:extLst>
            <a:ext uri="{FF2B5EF4-FFF2-40B4-BE49-F238E27FC236}">
              <a16:creationId xmlns:a16="http://schemas.microsoft.com/office/drawing/2014/main" id="{00000000-0008-0000-0000-00000A000000}"/>
            </a:ext>
          </a:extLst>
        </xdr:cNvPr>
        <xdr:cNvGrpSpPr/>
      </xdr:nvGrpSpPr>
      <xdr:grpSpPr>
        <a:xfrm>
          <a:off x="565842" y="3484658"/>
          <a:ext cx="1829236" cy="278189"/>
          <a:chOff x="354580" y="1383559"/>
          <a:chExt cx="1813707" cy="294217"/>
        </a:xfrm>
      </xdr:grpSpPr>
      <xdr:sp macro="[0]!CancellaTuttiDati" textlink="">
        <xdr:nvSpPr>
          <xdr:cNvPr id="11" name="Rettangolo con angoli arrotondati 10">
            <a:extLst>
              <a:ext uri="{FF2B5EF4-FFF2-40B4-BE49-F238E27FC236}">
                <a16:creationId xmlns:a16="http://schemas.microsoft.com/office/drawing/2014/main" id="{00000000-0008-0000-0000-00000B000000}"/>
              </a:ext>
            </a:extLst>
          </xdr:cNvPr>
          <xdr:cNvSpPr/>
        </xdr:nvSpPr>
        <xdr:spPr>
          <a:xfrm>
            <a:off x="354580" y="1383559"/>
            <a:ext cx="1813707" cy="294217"/>
          </a:xfrm>
          <a:prstGeom prst="roundRect">
            <a:avLst/>
          </a:prstGeom>
          <a:solidFill>
            <a:schemeClr val="tx2">
              <a:lumMod val="20000"/>
              <a:lumOff val="80000"/>
            </a:schemeClr>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it-IT" sz="1000" b="1"/>
          </a:p>
        </xdr:txBody>
      </xdr:sp>
      <xdr:pic macro="[0]!CancellaTuttiDati">
        <xdr:nvPicPr>
          <xdr:cNvPr id="12" name="Gomma" descr="Gomma con riempimento a tinta unita">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428041" y="1410635"/>
            <a:ext cx="203501" cy="252701"/>
          </a:xfrm>
          <a:prstGeom prst="rect">
            <a:avLst/>
          </a:prstGeom>
        </xdr:spPr>
      </xdr:pic>
      <xdr:sp macro="[0]!CancellaTuttiDati" textlink="Trads!$A$217">
        <xdr:nvSpPr>
          <xdr:cNvPr id="13" name="TestoCanc">
            <a:extLst>
              <a:ext uri="{FF2B5EF4-FFF2-40B4-BE49-F238E27FC236}">
                <a16:creationId xmlns:a16="http://schemas.microsoft.com/office/drawing/2014/main" id="{00000000-0008-0000-0000-00000D000000}"/>
              </a:ext>
            </a:extLst>
          </xdr:cNvPr>
          <xdr:cNvSpPr txBox="1"/>
        </xdr:nvSpPr>
        <xdr:spPr>
          <a:xfrm>
            <a:off x="664521" y="1406999"/>
            <a:ext cx="1489226" cy="25728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ctr"/>
            <a:fld id="{2CDC4337-A2BD-46E5-B1B3-92D8B65B3F7C}" type="TxLink">
              <a:rPr lang="en-US" sz="1000" b="0" i="0" u="none" strike="noStrike">
                <a:solidFill>
                  <a:srgbClr val="000000"/>
                </a:solidFill>
                <a:latin typeface="Verdana"/>
                <a:ea typeface="Verdana"/>
              </a:rPr>
              <a:pPr algn="ctr"/>
              <a:t>CANCELLA TUTTO</a:t>
            </a:fld>
            <a:endParaRPr lang="it-IT" sz="1000" b="1"/>
          </a:p>
        </xdr:txBody>
      </xdr:sp>
    </xdr:grpSp>
    <xdr:clientData fLocksWithSheet="0" fPrintsWithSheet="0"/>
  </xdr:twoCellAnchor>
  <xdr:twoCellAnchor editAs="oneCell">
    <xdr:from>
      <xdr:col>1</xdr:col>
      <xdr:colOff>203219</xdr:colOff>
      <xdr:row>10</xdr:row>
      <xdr:rowOff>2976</xdr:rowOff>
    </xdr:from>
    <xdr:to>
      <xdr:col>1</xdr:col>
      <xdr:colOff>414555</xdr:colOff>
      <xdr:row>11</xdr:row>
      <xdr:rowOff>35229</xdr:rowOff>
    </xdr:to>
    <xdr:pic macro="[0]!Terminali">
      <xdr:nvPicPr>
        <xdr:cNvPr id="20" name="InfoCorner" descr="Cerchio, cliente, help, info, informazioni, assistenza, supporto Icona">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03219" y="1494131"/>
          <a:ext cx="209431" cy="206562"/>
        </a:xfrm>
        <a:prstGeom prst="rect">
          <a:avLst/>
        </a:prstGeom>
        <a:noFill/>
        <a:extLst>
          <a:ext uri="{909E8E84-426E-40DD-AFC4-6F175D3DCCD1}">
            <a14:hiddenFill xmlns:a14="http://schemas.microsoft.com/office/drawing/2010/main">
              <a:solidFill>
                <a:srgbClr val="FFFFFF"/>
              </a:solidFill>
            </a14:hiddenFill>
          </a:ext>
        </a:extLst>
      </xdr:spPr>
    </xdr:pic>
    <xdr:clientData fPrintsWithSheet="0"/>
  </xdr:twoCellAnchor>
  <xdr:twoCellAnchor editAs="oneCell">
    <xdr:from>
      <xdr:col>1</xdr:col>
      <xdr:colOff>203219</xdr:colOff>
      <xdr:row>7</xdr:row>
      <xdr:rowOff>53475</xdr:rowOff>
    </xdr:from>
    <xdr:to>
      <xdr:col>1</xdr:col>
      <xdr:colOff>414555</xdr:colOff>
      <xdr:row>9</xdr:row>
      <xdr:rowOff>34772</xdr:rowOff>
    </xdr:to>
    <xdr:pic macro="[0]!Sistemi">
      <xdr:nvPicPr>
        <xdr:cNvPr id="28" name="InfoCorner" descr="Cerchio, cliente, help, info, informazioni, assistenza, supporto Icona">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03219" y="1226241"/>
          <a:ext cx="209431" cy="206562"/>
        </a:xfrm>
        <a:prstGeom prst="rect">
          <a:avLst/>
        </a:prstGeom>
        <a:noFill/>
        <a:extLst>
          <a:ext uri="{909E8E84-426E-40DD-AFC4-6F175D3DCCD1}">
            <a14:hiddenFill xmlns:a14="http://schemas.microsoft.com/office/drawing/2010/main">
              <a:solidFill>
                <a:srgbClr val="FFFFFF"/>
              </a:solidFill>
            </a14:hiddenFill>
          </a:ext>
        </a:extLst>
      </xdr:spPr>
    </xdr:pic>
    <xdr:clientData fPrintsWithSheet="0"/>
  </xdr:twoCellAnchor>
  <xdr:twoCellAnchor editAs="oneCell">
    <xdr:from>
      <xdr:col>15</xdr:col>
      <xdr:colOff>0</xdr:colOff>
      <xdr:row>32</xdr:row>
      <xdr:rowOff>0</xdr:rowOff>
    </xdr:from>
    <xdr:to>
      <xdr:col>17</xdr:col>
      <xdr:colOff>719833</xdr:colOff>
      <xdr:row>33</xdr:row>
      <xdr:rowOff>129640</xdr:rowOff>
    </xdr:to>
    <xdr:grpSp>
      <xdr:nvGrpSpPr>
        <xdr:cNvPr id="15" name="CancelDisegno">
          <a:extLst>
            <a:ext uri="{FF2B5EF4-FFF2-40B4-BE49-F238E27FC236}">
              <a16:creationId xmlns:a16="http://schemas.microsoft.com/office/drawing/2014/main" id="{00000000-0008-0000-0000-00000F000000}"/>
            </a:ext>
          </a:extLst>
        </xdr:cNvPr>
        <xdr:cNvGrpSpPr/>
      </xdr:nvGrpSpPr>
      <xdr:grpSpPr>
        <a:xfrm>
          <a:off x="10590668" y="5620693"/>
          <a:ext cx="2247606" cy="308823"/>
          <a:chOff x="354580" y="1383559"/>
          <a:chExt cx="1813707" cy="294217"/>
        </a:xfrm>
      </xdr:grpSpPr>
      <xdr:sp macro="[0]!CancellaDisegno" textlink="">
        <xdr:nvSpPr>
          <xdr:cNvPr id="16" name="Rettangolo con angoli arrotondati 15">
            <a:extLst>
              <a:ext uri="{FF2B5EF4-FFF2-40B4-BE49-F238E27FC236}">
                <a16:creationId xmlns:a16="http://schemas.microsoft.com/office/drawing/2014/main" id="{00000000-0008-0000-0000-000010000000}"/>
              </a:ext>
            </a:extLst>
          </xdr:cNvPr>
          <xdr:cNvSpPr/>
        </xdr:nvSpPr>
        <xdr:spPr>
          <a:xfrm>
            <a:off x="354580" y="1383559"/>
            <a:ext cx="1813707" cy="294217"/>
          </a:xfrm>
          <a:prstGeom prst="roundRect">
            <a:avLst/>
          </a:prstGeom>
          <a:solidFill>
            <a:schemeClr val="tx2">
              <a:lumMod val="20000"/>
              <a:lumOff val="80000"/>
            </a:schemeClr>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it-IT" sz="1000" b="1"/>
          </a:p>
        </xdr:txBody>
      </xdr:sp>
      <xdr:pic macro="[0]!CancellaDisegno">
        <xdr:nvPicPr>
          <xdr:cNvPr id="18" name="Gomma" descr="Gomma con riempimento a tinta unita">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79629" y="1410635"/>
            <a:ext cx="203501" cy="252701"/>
          </a:xfrm>
          <a:prstGeom prst="rect">
            <a:avLst/>
          </a:prstGeom>
        </xdr:spPr>
      </xdr:pic>
      <xdr:sp macro="[0]!CancellaDisegno" textlink="Trads!$A$367">
        <xdr:nvSpPr>
          <xdr:cNvPr id="19" name="TestoCanc">
            <a:extLst>
              <a:ext uri="{FF2B5EF4-FFF2-40B4-BE49-F238E27FC236}">
                <a16:creationId xmlns:a16="http://schemas.microsoft.com/office/drawing/2014/main" id="{00000000-0008-0000-0000-000013000000}"/>
              </a:ext>
            </a:extLst>
          </xdr:cNvPr>
          <xdr:cNvSpPr txBox="1"/>
        </xdr:nvSpPr>
        <xdr:spPr>
          <a:xfrm>
            <a:off x="664521" y="1406999"/>
            <a:ext cx="1489226" cy="25728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ctr"/>
            <a:fld id="{0E02B893-EEA0-462D-AEA0-14F7C4158807}" type="TxLink">
              <a:rPr lang="en-US" sz="1000" b="0" i="0" u="none" strike="noStrike">
                <a:solidFill>
                  <a:srgbClr val="000000"/>
                </a:solidFill>
                <a:latin typeface="Verdana"/>
                <a:ea typeface="Verdana"/>
              </a:rPr>
              <a:pPr algn="ctr"/>
              <a:t>CANCELLA DISEGNO</a:t>
            </a:fld>
            <a:endParaRPr lang="it-IT" sz="1000" b="1"/>
          </a:p>
        </xdr:txBody>
      </xdr:sp>
    </xdr:grpSp>
    <xdr:clientData fLocksWithSheet="0" fPrintsWithSheet="0"/>
  </xdr:twoCellAnchor>
  <xdr:twoCellAnchor editAs="oneCell">
    <xdr:from>
      <xdr:col>15</xdr:col>
      <xdr:colOff>0</xdr:colOff>
      <xdr:row>34</xdr:row>
      <xdr:rowOff>0</xdr:rowOff>
    </xdr:from>
    <xdr:to>
      <xdr:col>23</xdr:col>
      <xdr:colOff>300333</xdr:colOff>
      <xdr:row>126</xdr:row>
      <xdr:rowOff>39182</xdr:rowOff>
    </xdr:to>
    <xdr:graphicFrame macro="">
      <xdr:nvGraphicFramePr>
        <xdr:cNvPr id="115" name="MappaInserimento">
          <a:extLst>
            <a:ext uri="{FF2B5EF4-FFF2-40B4-BE49-F238E27FC236}">
              <a16:creationId xmlns:a16="http://schemas.microsoft.com/office/drawing/2014/main" id="{00000000-0008-0000-0000-00007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15</xdr:col>
      <xdr:colOff>143460</xdr:colOff>
      <xdr:row>32</xdr:row>
      <xdr:rowOff>172788</xdr:rowOff>
    </xdr:from>
    <xdr:to>
      <xdr:col>22</xdr:col>
      <xdr:colOff>148023</xdr:colOff>
      <xdr:row>122</xdr:row>
      <xdr:rowOff>49941</xdr:rowOff>
    </xdr:to>
    <xdr:sp macro="" textlink="" fLocksText="0">
      <xdr:nvSpPr>
        <xdr:cNvPr id="24" name="RettxQuadro" hidden="1">
          <a:extLst>
            <a:ext uri="{FF2B5EF4-FFF2-40B4-BE49-F238E27FC236}">
              <a16:creationId xmlns:a16="http://schemas.microsoft.com/office/drawing/2014/main" id="{00000000-0008-0000-0000-000018000000}"/>
            </a:ext>
          </a:extLst>
        </xdr:cNvPr>
        <xdr:cNvSpPr/>
      </xdr:nvSpPr>
      <xdr:spPr>
        <a:xfrm>
          <a:off x="9936351" y="5342085"/>
          <a:ext cx="5400000" cy="5400000"/>
        </a:xfrm>
        <a:prstGeom prst="rect">
          <a:avLst/>
        </a:prstGeom>
        <a:noFill/>
        <a:ln w="12700">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it-IT" sz="1100"/>
        </a:p>
      </xdr:txBody>
    </xdr:sp>
    <xdr:clientData fPrintsWithSheet="0"/>
  </xdr:twoCellAnchor>
  <xdr:twoCellAnchor editAs="oneCell">
    <xdr:from>
      <xdr:col>8</xdr:col>
      <xdr:colOff>138748</xdr:colOff>
      <xdr:row>8</xdr:row>
      <xdr:rowOff>0</xdr:rowOff>
    </xdr:from>
    <xdr:to>
      <xdr:col>12</xdr:col>
      <xdr:colOff>0</xdr:colOff>
      <xdr:row>17</xdr:row>
      <xdr:rowOff>35242</xdr:rowOff>
    </xdr:to>
    <xdr:pic>
      <xdr:nvPicPr>
        <xdr:cNvPr id="125" name="TOWER" hidden="1">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7"/>
        <a:stretch>
          <a:fillRect/>
        </a:stretch>
      </xdr:blipFill>
      <xdr:spPr>
        <a:xfrm>
          <a:off x="5757624" y="1249610"/>
          <a:ext cx="3129463" cy="1881476"/>
        </a:xfrm>
        <a:prstGeom prst="rect">
          <a:avLst/>
        </a:prstGeom>
        <a:ln w="9525">
          <a:solidFill>
            <a:schemeClr val="tx1"/>
          </a:solidFill>
        </a:ln>
      </xdr:spPr>
    </xdr:pic>
    <xdr:clientData/>
  </xdr:twoCellAnchor>
  <xdr:twoCellAnchor editAs="oneCell">
    <xdr:from>
      <xdr:col>7</xdr:col>
      <xdr:colOff>683184</xdr:colOff>
      <xdr:row>8</xdr:row>
      <xdr:rowOff>0</xdr:rowOff>
    </xdr:from>
    <xdr:to>
      <xdr:col>12</xdr:col>
      <xdr:colOff>0</xdr:colOff>
      <xdr:row>17</xdr:row>
      <xdr:rowOff>33971</xdr:rowOff>
    </xdr:to>
    <xdr:pic>
      <xdr:nvPicPr>
        <xdr:cNvPr id="117" name="SHIELD+SPEAREVO" hidden="1">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8"/>
        <a:stretch>
          <a:fillRect/>
        </a:stretch>
      </xdr:blipFill>
      <xdr:spPr>
        <a:xfrm>
          <a:off x="5436945" y="1249610"/>
          <a:ext cx="3450142" cy="1894492"/>
        </a:xfrm>
        <a:prstGeom prst="rect">
          <a:avLst/>
        </a:prstGeom>
        <a:ln w="9525">
          <a:solidFill>
            <a:schemeClr val="tx1"/>
          </a:solidFill>
        </a:ln>
      </xdr:spPr>
    </xdr:pic>
    <xdr:clientData/>
  </xdr:twoCellAnchor>
  <xdr:twoCellAnchor editAs="oneCell">
    <xdr:from>
      <xdr:col>7</xdr:col>
      <xdr:colOff>657731</xdr:colOff>
      <xdr:row>8</xdr:row>
      <xdr:rowOff>0</xdr:rowOff>
    </xdr:from>
    <xdr:to>
      <xdr:col>12</xdr:col>
      <xdr:colOff>0</xdr:colOff>
      <xdr:row>17</xdr:row>
      <xdr:rowOff>35242</xdr:rowOff>
    </xdr:to>
    <xdr:pic>
      <xdr:nvPicPr>
        <xdr:cNvPr id="118" name="SHIELD+SPEAR" hidden="1">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9"/>
        <a:stretch>
          <a:fillRect/>
        </a:stretch>
      </xdr:blipFill>
      <xdr:spPr>
        <a:xfrm>
          <a:off x="5411492" y="1249610"/>
          <a:ext cx="3475595" cy="1881476"/>
        </a:xfrm>
        <a:prstGeom prst="rect">
          <a:avLst/>
        </a:prstGeom>
        <a:ln w="9525">
          <a:solidFill>
            <a:schemeClr val="tx1"/>
          </a:solidFill>
        </a:ln>
      </xdr:spPr>
    </xdr:pic>
    <xdr:clientData/>
  </xdr:twoCellAnchor>
  <xdr:twoCellAnchor editAs="oneCell">
    <xdr:from>
      <xdr:col>7</xdr:col>
      <xdr:colOff>677847</xdr:colOff>
      <xdr:row>8</xdr:row>
      <xdr:rowOff>0</xdr:rowOff>
    </xdr:from>
    <xdr:to>
      <xdr:col>12</xdr:col>
      <xdr:colOff>0</xdr:colOff>
      <xdr:row>16</xdr:row>
      <xdr:rowOff>795975</xdr:rowOff>
    </xdr:to>
    <xdr:pic>
      <xdr:nvPicPr>
        <xdr:cNvPr id="120" name="PATROLEND+SPEAREVO" hidden="1">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0"/>
        <a:stretch>
          <a:fillRect/>
        </a:stretch>
      </xdr:blipFill>
      <xdr:spPr>
        <a:xfrm flipH="1">
          <a:off x="5431608" y="1249610"/>
          <a:ext cx="3455479" cy="1796310"/>
        </a:xfrm>
        <a:prstGeom prst="rect">
          <a:avLst/>
        </a:prstGeom>
        <a:ln w="9525">
          <a:solidFill>
            <a:schemeClr val="tx1"/>
          </a:solidFill>
        </a:ln>
      </xdr:spPr>
    </xdr:pic>
    <xdr:clientData/>
  </xdr:twoCellAnchor>
  <xdr:twoCellAnchor editAs="oneCell">
    <xdr:from>
      <xdr:col>7</xdr:col>
      <xdr:colOff>838551</xdr:colOff>
      <xdr:row>8</xdr:row>
      <xdr:rowOff>0</xdr:rowOff>
    </xdr:from>
    <xdr:to>
      <xdr:col>12</xdr:col>
      <xdr:colOff>0</xdr:colOff>
      <xdr:row>16</xdr:row>
      <xdr:rowOff>796360</xdr:rowOff>
    </xdr:to>
    <xdr:pic>
      <xdr:nvPicPr>
        <xdr:cNvPr id="119" name="PATROLEND+SPEAR" hidden="1">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11"/>
        <a:srcRect t="31580" r="1443" b="1"/>
        <a:stretch/>
      </xdr:blipFill>
      <xdr:spPr>
        <a:xfrm>
          <a:off x="5592312" y="1249610"/>
          <a:ext cx="3294775" cy="1805268"/>
        </a:xfrm>
        <a:prstGeom prst="rect">
          <a:avLst/>
        </a:prstGeom>
        <a:ln w="9525">
          <a:solidFill>
            <a:schemeClr val="tx1"/>
          </a:solidFill>
        </a:ln>
      </xdr:spPr>
    </xdr:pic>
    <xdr:clientData/>
  </xdr:twoCellAnchor>
  <xdr:twoCellAnchor editAs="oneCell">
    <xdr:from>
      <xdr:col>8</xdr:col>
      <xdr:colOff>51191</xdr:colOff>
      <xdr:row>8</xdr:row>
      <xdr:rowOff>17478</xdr:rowOff>
    </xdr:from>
    <xdr:to>
      <xdr:col>12</xdr:col>
      <xdr:colOff>0</xdr:colOff>
      <xdr:row>16</xdr:row>
      <xdr:rowOff>834764</xdr:rowOff>
    </xdr:to>
    <xdr:pic>
      <xdr:nvPicPr>
        <xdr:cNvPr id="121" name="PATROLWALL+SPEAR" hidden="1">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2"/>
        <a:stretch>
          <a:fillRect/>
        </a:stretch>
      </xdr:blipFill>
      <xdr:spPr>
        <a:xfrm>
          <a:off x="5670067" y="1267088"/>
          <a:ext cx="3217020" cy="1800476"/>
        </a:xfrm>
        <a:prstGeom prst="rect">
          <a:avLst/>
        </a:prstGeom>
        <a:ln w="9525">
          <a:solidFill>
            <a:schemeClr val="tx1"/>
          </a:solidFill>
        </a:ln>
      </xdr:spPr>
    </xdr:pic>
    <xdr:clientData/>
  </xdr:twoCellAnchor>
  <xdr:twoCellAnchor editAs="oneCell">
    <xdr:from>
      <xdr:col>8</xdr:col>
      <xdr:colOff>38961</xdr:colOff>
      <xdr:row>8</xdr:row>
      <xdr:rowOff>0</xdr:rowOff>
    </xdr:from>
    <xdr:to>
      <xdr:col>12</xdr:col>
      <xdr:colOff>0</xdr:colOff>
      <xdr:row>16</xdr:row>
      <xdr:rowOff>796290</xdr:rowOff>
    </xdr:to>
    <xdr:pic>
      <xdr:nvPicPr>
        <xdr:cNvPr id="123" name="PATROLOVER+SPEAR" hidden="1">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13"/>
        <a:srcRect b="20268"/>
        <a:stretch/>
      </xdr:blipFill>
      <xdr:spPr>
        <a:xfrm>
          <a:off x="5657837" y="1249610"/>
          <a:ext cx="3229250" cy="1790910"/>
        </a:xfrm>
        <a:prstGeom prst="rect">
          <a:avLst/>
        </a:prstGeom>
        <a:ln w="9525">
          <a:solidFill>
            <a:schemeClr val="tx1"/>
          </a:solidFill>
        </a:ln>
      </xdr:spPr>
    </xdr:pic>
    <xdr:clientData/>
  </xdr:twoCellAnchor>
  <xdr:twoCellAnchor editAs="oneCell">
    <xdr:from>
      <xdr:col>8</xdr:col>
      <xdr:colOff>125939</xdr:colOff>
      <xdr:row>8</xdr:row>
      <xdr:rowOff>0</xdr:rowOff>
    </xdr:from>
    <xdr:to>
      <xdr:col>12</xdr:col>
      <xdr:colOff>0</xdr:colOff>
      <xdr:row>17</xdr:row>
      <xdr:rowOff>34379</xdr:rowOff>
    </xdr:to>
    <xdr:pic>
      <xdr:nvPicPr>
        <xdr:cNvPr id="124" name="PATROLOVER+SPEAREVO" hidden="1">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4"/>
        <a:stretch>
          <a:fillRect/>
        </a:stretch>
      </xdr:blipFill>
      <xdr:spPr>
        <a:xfrm>
          <a:off x="5744815" y="1249610"/>
          <a:ext cx="3142272" cy="1888233"/>
        </a:xfrm>
        <a:prstGeom prst="rect">
          <a:avLst/>
        </a:prstGeom>
        <a:ln w="9525">
          <a:solidFill>
            <a:schemeClr val="tx1"/>
          </a:solidFill>
        </a:ln>
      </xdr:spPr>
    </xdr:pic>
    <xdr:clientData/>
  </xdr:twoCellAnchor>
  <xdr:twoCellAnchor editAs="oneCell">
    <xdr:from>
      <xdr:col>7</xdr:col>
      <xdr:colOff>865114</xdr:colOff>
      <xdr:row>8</xdr:row>
      <xdr:rowOff>9389</xdr:rowOff>
    </xdr:from>
    <xdr:to>
      <xdr:col>12</xdr:col>
      <xdr:colOff>1442</xdr:colOff>
      <xdr:row>17</xdr:row>
      <xdr:rowOff>113</xdr:rowOff>
    </xdr:to>
    <xdr:pic>
      <xdr:nvPicPr>
        <xdr:cNvPr id="122" name="PATROLWALL+SPEAREVO" hidden="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15"/>
        <a:stretch>
          <a:fillRect/>
        </a:stretch>
      </xdr:blipFill>
      <xdr:spPr>
        <a:xfrm>
          <a:off x="5618875" y="1258999"/>
          <a:ext cx="3268211" cy="1849356"/>
        </a:xfrm>
        <a:prstGeom prst="rect">
          <a:avLst/>
        </a:prstGeom>
        <a:ln w="9525">
          <a:solidFill>
            <a:schemeClr val="tx1"/>
          </a:solidFill>
        </a:ln>
      </xdr:spPr>
    </xdr:pic>
    <xdr:clientData/>
  </xdr:twoCellAnchor>
  <xdr:twoCellAnchor editAs="oneCell">
    <xdr:from>
      <xdr:col>7</xdr:col>
      <xdr:colOff>215394</xdr:colOff>
      <xdr:row>3</xdr:row>
      <xdr:rowOff>18222</xdr:rowOff>
    </xdr:from>
    <xdr:to>
      <xdr:col>11</xdr:col>
      <xdr:colOff>224716</xdr:colOff>
      <xdr:row>110</xdr:row>
      <xdr:rowOff>233447</xdr:rowOff>
    </xdr:to>
    <xdr:pic macro="[0]!Sistemi">
      <xdr:nvPicPr>
        <xdr:cNvPr id="17" name="Sistemi" hidden="1">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a:stretch>
          <a:fillRect/>
        </a:stretch>
      </xdr:blipFill>
      <xdr:spPr>
        <a:xfrm>
          <a:off x="4482205" y="698579"/>
          <a:ext cx="3361341" cy="7792332"/>
        </a:xfrm>
        <a:prstGeom prst="rect">
          <a:avLst/>
        </a:prstGeom>
        <a:ln w="9525">
          <a:solidFill>
            <a:schemeClr val="tx1"/>
          </a:solidFill>
        </a:ln>
      </xdr:spPr>
    </xdr:pic>
    <xdr:clientData/>
  </xdr:twoCellAnchor>
  <xdr:twoCellAnchor editAs="oneCell">
    <xdr:from>
      <xdr:col>7</xdr:col>
      <xdr:colOff>212611</xdr:colOff>
      <xdr:row>6</xdr:row>
      <xdr:rowOff>11809</xdr:rowOff>
    </xdr:from>
    <xdr:to>
      <xdr:col>10</xdr:col>
      <xdr:colOff>644632</xdr:colOff>
      <xdr:row>31</xdr:row>
      <xdr:rowOff>110723</xdr:rowOff>
    </xdr:to>
    <xdr:pic macro="[0]!Terminali">
      <xdr:nvPicPr>
        <xdr:cNvPr id="32" name="Terminali" hidden="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7"/>
        <a:stretch>
          <a:fillRect/>
        </a:stretch>
      </xdr:blipFill>
      <xdr:spPr>
        <a:xfrm>
          <a:off x="4479422" y="1003187"/>
          <a:ext cx="2996799" cy="3963419"/>
        </a:xfrm>
        <a:prstGeom prst="rect">
          <a:avLst/>
        </a:prstGeom>
        <a:ln w="9525">
          <a:solidFill>
            <a:schemeClr val="tx1"/>
          </a:solidFill>
        </a:ln>
      </xdr:spPr>
    </xdr:pic>
    <xdr:clientData/>
  </xdr:twoCellAnchor>
  <xdr:twoCellAnchor>
    <xdr:from>
      <xdr:col>14</xdr:col>
      <xdr:colOff>137583</xdr:colOff>
      <xdr:row>7</xdr:row>
      <xdr:rowOff>18213</xdr:rowOff>
    </xdr:from>
    <xdr:to>
      <xdr:col>17</xdr:col>
      <xdr:colOff>483946</xdr:colOff>
      <xdr:row>12</xdr:row>
      <xdr:rowOff>3848</xdr:rowOff>
    </xdr:to>
    <xdr:sp macro="[0]!EsportaInPDF" textlink="AB11">
      <xdr:nvSpPr>
        <xdr:cNvPr id="33" name="CasellaDiTesto 32">
          <a:extLst>
            <a:ext uri="{FF2B5EF4-FFF2-40B4-BE49-F238E27FC236}">
              <a16:creationId xmlns:a16="http://schemas.microsoft.com/office/drawing/2014/main" id="{00000000-0008-0000-0000-000021000000}"/>
            </a:ext>
          </a:extLst>
        </xdr:cNvPr>
        <xdr:cNvSpPr txBox="1"/>
      </xdr:nvSpPr>
      <xdr:spPr>
        <a:xfrm>
          <a:off x="10297583" y="1230486"/>
          <a:ext cx="2299469" cy="543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69FC08AA-AF38-4EFF-85C9-E2BFE6FA934F}" type="TxLink">
            <a:rPr lang="en-US" sz="1000" b="0" i="0" u="none" strike="noStrike">
              <a:solidFill>
                <a:srgbClr val="000000"/>
              </a:solidFill>
              <a:latin typeface="Verdana"/>
              <a:ea typeface="Verdana"/>
            </a:rPr>
            <a:pPr algn="ctr"/>
            <a:t>Stampa Relazione Tecnica</a:t>
          </a:fld>
          <a:endParaRPr lang="it-IT" sz="1100"/>
        </a:p>
      </xdr:txBody>
    </xdr:sp>
    <xdr:clientData/>
  </xdr:twoCellAnchor>
  <xdr:twoCellAnchor>
    <xdr:from>
      <xdr:col>15</xdr:col>
      <xdr:colOff>556435</xdr:colOff>
      <xdr:row>3</xdr:row>
      <xdr:rowOff>23530</xdr:rowOff>
    </xdr:from>
    <xdr:to>
      <xdr:col>16</xdr:col>
      <xdr:colOff>333279</xdr:colOff>
      <xdr:row>8</xdr:row>
      <xdr:rowOff>131782</xdr:rowOff>
    </xdr:to>
    <xdr:pic macro="[0]!EsportaInPDF">
      <xdr:nvPicPr>
        <xdr:cNvPr id="2" name="Immagine 1" descr="Pdf - Free files and folders icons">
          <a:extLst>
            <a:ext uri="{FF2B5EF4-FFF2-40B4-BE49-F238E27FC236}">
              <a16:creationId xmlns:a16="http://schemas.microsoft.com/office/drawing/2014/main" id="{00000000-0008-0000-0000-000002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7789" t="13779" r="17639" b="12942"/>
        <a:stretch/>
      </xdr:blipFill>
      <xdr:spPr bwMode="auto">
        <a:xfrm>
          <a:off x="11149390" y="735500"/>
          <a:ext cx="536919" cy="666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667615</xdr:colOff>
      <xdr:row>98</xdr:row>
      <xdr:rowOff>336838</xdr:rowOff>
    </xdr:from>
    <xdr:to>
      <xdr:col>11</xdr:col>
      <xdr:colOff>270520</xdr:colOff>
      <xdr:row>135</xdr:row>
      <xdr:rowOff>36815</xdr:rowOff>
    </xdr:to>
    <xdr:graphicFrame macro="">
      <xdr:nvGraphicFramePr>
        <xdr:cNvPr id="4" name="MappaStampa" hidden="1">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mc:AlternateContent xmlns:mc="http://schemas.openxmlformats.org/markup-compatibility/2006">
    <mc:Choice xmlns:a14="http://schemas.microsoft.com/office/drawing/2010/main" Requires="a14">
      <xdr:twoCellAnchor>
        <xdr:from>
          <xdr:col>24</xdr:col>
          <xdr:colOff>104775</xdr:colOff>
          <xdr:row>4</xdr:row>
          <xdr:rowOff>66675</xdr:rowOff>
        </xdr:from>
        <xdr:to>
          <xdr:col>25</xdr:col>
          <xdr:colOff>638175</xdr:colOff>
          <xdr:row>7</xdr:row>
          <xdr:rowOff>9525</xdr:rowOff>
        </xdr:to>
        <xdr:sp macro="" textlink="">
          <xdr:nvSpPr>
            <xdr:cNvPr id="1071" name="Button 47" hidden="1">
              <a:extLst>
                <a:ext uri="{63B3BB69-23CF-44E3-9099-C40C66FF867C}">
                  <a14:compatExt spid="_x0000_s1071"/>
                </a:ext>
                <a:ext uri="{FF2B5EF4-FFF2-40B4-BE49-F238E27FC236}">
                  <a16:creationId xmlns:a16="http://schemas.microsoft.com/office/drawing/2014/main" id="{00000000-0008-0000-0000-00002F04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it-IT" sz="1000" b="0" i="0" u="none" strike="noStrike" baseline="0">
                  <a:solidFill>
                    <a:srgbClr val="000000"/>
                  </a:solidFill>
                  <a:latin typeface="Verdana"/>
                  <a:ea typeface="Verdana"/>
                </a:rPr>
                <a:t>Schermo Lavoro</a:t>
              </a:r>
            </a:p>
          </xdr:txBody>
        </xdr:sp>
        <xdr:clientData fPrintsWithSheet="0"/>
      </xdr:twoCellAnchor>
    </mc:Choice>
    <mc:Fallback/>
  </mc:AlternateContent>
  <xdr:twoCellAnchor>
    <xdr:from>
      <xdr:col>2</xdr:col>
      <xdr:colOff>123953</xdr:colOff>
      <xdr:row>121</xdr:row>
      <xdr:rowOff>137472</xdr:rowOff>
    </xdr:from>
    <xdr:to>
      <xdr:col>12</xdr:col>
      <xdr:colOff>669916</xdr:colOff>
      <xdr:row>137</xdr:row>
      <xdr:rowOff>9779</xdr:rowOff>
    </xdr:to>
    <xdr:graphicFrame macro="">
      <xdr:nvGraphicFramePr>
        <xdr:cNvPr id="21" name="SchemeFreccia">
          <a:extLst>
            <a:ext uri="{FF2B5EF4-FFF2-40B4-BE49-F238E27FC236}">
              <a16:creationId xmlns:a16="http://schemas.microsoft.com/office/drawing/2014/main" id="{00000000-0008-0000-0000-000015000000}"/>
            </a:ext>
            <a:ext uri="{147F2762-F138-4A5C-976F-8EAC2B608ADB}">
              <a16:predDERef xmlns:a16="http://schemas.microsoft.com/office/drawing/2014/main" pred="{00000000-0008-0000-0000-00002F04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mc:AlternateContent xmlns:mc="http://schemas.openxmlformats.org/markup-compatibility/2006">
    <mc:Choice xmlns:a14="http://schemas.microsoft.com/office/drawing/2010/main" Requires="a14">
      <xdr:twoCellAnchor>
        <xdr:from>
          <xdr:col>24</xdr:col>
          <xdr:colOff>180975</xdr:colOff>
          <xdr:row>10</xdr:row>
          <xdr:rowOff>47625</xdr:rowOff>
        </xdr:from>
        <xdr:to>
          <xdr:col>26</xdr:col>
          <xdr:colOff>238125</xdr:colOff>
          <xdr:row>13</xdr:row>
          <xdr:rowOff>9525</xdr:rowOff>
        </xdr:to>
        <xdr:sp macro="" textlink="">
          <xdr:nvSpPr>
            <xdr:cNvPr id="1073" name="Button 49" hidden="1">
              <a:extLst>
                <a:ext uri="{63B3BB69-23CF-44E3-9099-C40C66FF867C}">
                  <a14:compatExt spid="_x0000_s1073"/>
                </a:ext>
                <a:ext uri="{FF2B5EF4-FFF2-40B4-BE49-F238E27FC236}">
                  <a16:creationId xmlns:a16="http://schemas.microsoft.com/office/drawing/2014/main" id="{00000000-0008-0000-0000-00003104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it-IT" sz="1000" b="0" i="0" u="none" strike="noStrike" baseline="0">
                  <a:solidFill>
                    <a:srgbClr val="000000"/>
                  </a:solidFill>
                  <a:latin typeface="Verdana"/>
                  <a:ea typeface="Verdana"/>
                </a:rPr>
                <a:t>Blocca Tutto</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34</xdr:col>
          <xdr:colOff>28575</xdr:colOff>
          <xdr:row>141</xdr:row>
          <xdr:rowOff>142875</xdr:rowOff>
        </xdr:from>
        <xdr:to>
          <xdr:col>36</xdr:col>
          <xdr:colOff>238125</xdr:colOff>
          <xdr:row>143</xdr:row>
          <xdr:rowOff>85725</xdr:rowOff>
        </xdr:to>
        <xdr:sp macro="" textlink="">
          <xdr:nvSpPr>
            <xdr:cNvPr id="1085" name="Button 61" hidden="1">
              <a:extLst>
                <a:ext uri="{63B3BB69-23CF-44E3-9099-C40C66FF867C}">
                  <a14:compatExt spid="_x0000_s1085"/>
                </a:ext>
                <a:ext uri="{FF2B5EF4-FFF2-40B4-BE49-F238E27FC236}">
                  <a16:creationId xmlns:a16="http://schemas.microsoft.com/office/drawing/2014/main" id="{00000000-0008-0000-0000-00003D040000}"/>
                </a:ext>
              </a:extLst>
            </xdr:cNvPr>
            <xdr:cNvSpPr/>
          </xdr:nvSpPr>
          <xdr:spPr bwMode="auto">
            <a:xfrm>
              <a:off x="0" y="0"/>
              <a:ext cx="0" cy="0"/>
            </a:xfrm>
            <a:prstGeom prst="rect">
              <a:avLst/>
            </a:prstGeom>
            <a:noFill/>
            <a:ln w="9525">
              <a:miter lim="800000"/>
              <a:headEnd/>
              <a:tailEnd/>
            </a:ln>
          </xdr:spPr>
          <xdr:txBody>
            <a:bodyPr vertOverflow="clip" wrap="square" lIns="27432" tIns="22860" rIns="27432" bIns="22860" anchor="ctr" upright="1"/>
            <a:lstStyle/>
            <a:p>
              <a:pPr algn="ctr" rtl="0">
                <a:defRPr sz="1000"/>
              </a:pPr>
              <a:r>
                <a:rPr lang="it-IT" sz="1000" b="0" i="0" u="none" strike="noStrike" baseline="0">
                  <a:solidFill>
                    <a:srgbClr val="000000"/>
                  </a:solidFill>
                  <a:latin typeface="Verdana"/>
                  <a:ea typeface="Verdana"/>
                </a:rPr>
                <a:t>Pulsante 61</a:t>
              </a:r>
            </a:p>
          </xdr:txBody>
        </xdr:sp>
        <xdr:clientData fPrintsWithSheet="0"/>
      </xdr:twoCellAnchor>
    </mc:Choice>
    <mc:Fallback/>
  </mc:AlternateContent>
  <xdr:twoCellAnchor>
    <xdr:from>
      <xdr:col>3</xdr:col>
      <xdr:colOff>226335</xdr:colOff>
      <xdr:row>98</xdr:row>
      <xdr:rowOff>471534</xdr:rowOff>
    </xdr:from>
    <xdr:to>
      <xdr:col>9</xdr:col>
      <xdr:colOff>837177</xdr:colOff>
      <xdr:row>99</xdr:row>
      <xdr:rowOff>3062821</xdr:rowOff>
    </xdr:to>
    <xdr:sp macro="" textlink="">
      <xdr:nvSpPr>
        <xdr:cNvPr id="3" name="Rettangolo 2">
          <a:extLst>
            <a:ext uri="{FF2B5EF4-FFF2-40B4-BE49-F238E27FC236}">
              <a16:creationId xmlns:a16="http://schemas.microsoft.com/office/drawing/2014/main" id="{00000000-0008-0000-0000-000003000000}"/>
            </a:ext>
          </a:extLst>
        </xdr:cNvPr>
        <xdr:cNvSpPr/>
      </xdr:nvSpPr>
      <xdr:spPr>
        <a:xfrm>
          <a:off x="1556063" y="6884405"/>
          <a:ext cx="5760000" cy="5760000"/>
        </a:xfrm>
        <a:prstGeom prst="rect">
          <a:avLst/>
        </a:prstGeom>
        <a:noFill/>
        <a:ln w="3175">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it-IT" sz="1100"/>
        </a:p>
      </xdr:txBody>
    </xdr:sp>
    <xdr:clientData/>
  </xdr:twoCellAnchor>
  <xdr:twoCellAnchor editAs="oneCell">
    <xdr:from>
      <xdr:col>2</xdr:col>
      <xdr:colOff>0</xdr:colOff>
      <xdr:row>145</xdr:row>
      <xdr:rowOff>9431</xdr:rowOff>
    </xdr:from>
    <xdr:to>
      <xdr:col>13</xdr:col>
      <xdr:colOff>1644</xdr:colOff>
      <xdr:row>145</xdr:row>
      <xdr:rowOff>1063961</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1"/>
        <a:stretch>
          <a:fillRect/>
        </a:stretch>
      </xdr:blipFill>
      <xdr:spPr>
        <a:xfrm>
          <a:off x="565842" y="16711188"/>
          <a:ext cx="9166041" cy="1054530"/>
        </a:xfrm>
        <a:prstGeom prst="rect">
          <a:avLst/>
        </a:prstGeom>
      </xdr:spPr>
    </xdr:pic>
    <xdr:clientData/>
  </xdr:twoCellAnchor>
  <xdr:twoCellAnchor editAs="oneCell">
    <xdr:from>
      <xdr:col>0</xdr:col>
      <xdr:colOff>19243</xdr:colOff>
      <xdr:row>0</xdr:row>
      <xdr:rowOff>57727</xdr:rowOff>
    </xdr:from>
    <xdr:to>
      <xdr:col>9</xdr:col>
      <xdr:colOff>300066</xdr:colOff>
      <xdr:row>0</xdr:row>
      <xdr:rowOff>727402</xdr:rowOff>
    </xdr:to>
    <xdr:pic>
      <xdr:nvPicPr>
        <xdr:cNvPr id="22" name="Immagine 21">
          <a:extLst>
            <a:ext uri="{FF2B5EF4-FFF2-40B4-BE49-F238E27FC236}">
              <a16:creationId xmlns:a16="http://schemas.microsoft.com/office/drawing/2014/main" id="{00000000-0008-0000-0000-000016000000}"/>
            </a:ext>
          </a:extLst>
        </xdr:cNvPr>
        <xdr:cNvPicPr>
          <a:picLocks noChangeAspect="1"/>
        </xdr:cNvPicPr>
      </xdr:nvPicPr>
      <xdr:blipFill rotWithShape="1">
        <a:blip xmlns:r="http://schemas.openxmlformats.org/officeDocument/2006/relationships" r:embed="rId22">
          <a:clrChange>
            <a:clrFrom>
              <a:srgbClr val="FFFFFF"/>
            </a:clrFrom>
            <a:clrTo>
              <a:srgbClr val="FFFFFF">
                <a:alpha val="0"/>
              </a:srgbClr>
            </a:clrTo>
          </a:clrChange>
        </a:blip>
        <a:srcRect t="29588" b="30562"/>
        <a:stretch/>
      </xdr:blipFill>
      <xdr:spPr>
        <a:xfrm>
          <a:off x="19243" y="57727"/>
          <a:ext cx="6744469" cy="67348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99060</xdr:colOff>
      <xdr:row>0</xdr:row>
      <xdr:rowOff>80135</xdr:rowOff>
    </xdr:from>
    <xdr:to>
      <xdr:col>2</xdr:col>
      <xdr:colOff>605638</xdr:colOff>
      <xdr:row>3</xdr:row>
      <xdr:rowOff>155734</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srcRect l="7792" t="6154" r="5195" b="7679"/>
        <a:stretch/>
      </xdr:blipFill>
      <xdr:spPr>
        <a:xfrm>
          <a:off x="746760" y="80135"/>
          <a:ext cx="1278103" cy="561374"/>
        </a:xfrm>
        <a:prstGeom prst="rect">
          <a:avLst/>
        </a:prstGeom>
      </xdr:spPr>
    </xdr:pic>
    <xdr:clientData/>
  </xdr:twoCellAnchor>
  <xdr:twoCellAnchor editAs="oneCell">
    <xdr:from>
      <xdr:col>1</xdr:col>
      <xdr:colOff>304800</xdr:colOff>
      <xdr:row>127</xdr:row>
      <xdr:rowOff>133350</xdr:rowOff>
    </xdr:from>
    <xdr:to>
      <xdr:col>10</xdr:col>
      <xdr:colOff>469240</xdr:colOff>
      <xdr:row>134</xdr:row>
      <xdr:rowOff>443692</xdr:rowOff>
    </xdr:to>
    <xdr:pic>
      <xdr:nvPicPr>
        <xdr:cNvPr id="5" name="Immagin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0" y="18126075"/>
          <a:ext cx="8917915" cy="1577167"/>
        </a:xfrm>
        <a:prstGeom prst="rect">
          <a:avLst/>
        </a:prstGeom>
      </xdr:spPr>
    </xdr:pic>
    <xdr:clientData/>
  </xdr:twoCellAnchor>
  <xdr:twoCellAnchor editAs="oneCell">
    <xdr:from>
      <xdr:col>5</xdr:col>
      <xdr:colOff>703283</xdr:colOff>
      <xdr:row>112</xdr:row>
      <xdr:rowOff>63091</xdr:rowOff>
    </xdr:from>
    <xdr:to>
      <xdr:col>10</xdr:col>
      <xdr:colOff>359843</xdr:colOff>
      <xdr:row>117</xdr:row>
      <xdr:rowOff>178184</xdr:rowOff>
    </xdr:to>
    <xdr:pic>
      <xdr:nvPicPr>
        <xdr:cNvPr id="6" name="Immagin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stretch>
          <a:fillRect/>
        </a:stretch>
      </xdr:blipFill>
      <xdr:spPr>
        <a:xfrm>
          <a:off x="5532458" y="13245691"/>
          <a:ext cx="4228560" cy="14485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11</xdr:col>
      <xdr:colOff>114300</xdr:colOff>
      <xdr:row>75</xdr:row>
      <xdr:rowOff>95250</xdr:rowOff>
    </xdr:from>
    <xdr:to>
      <xdr:col>11</xdr:col>
      <xdr:colOff>1133475</xdr:colOff>
      <xdr:row>81</xdr:row>
      <xdr:rowOff>47625</xdr:rowOff>
    </xdr:to>
    <xdr:sp macro="" textlink="">
      <xdr:nvSpPr>
        <xdr:cNvPr id="13314" name="TextBox1" hidden="1">
          <a:extLst>
            <a:ext uri="{63B3BB69-23CF-44E3-9099-C40C66FF867C}">
              <a14:compatExt xmlns:a14="http://schemas.microsoft.com/office/drawing/2010/main" spid="_x0000_s13314"/>
            </a:ext>
            <a:ext uri="{FF2B5EF4-FFF2-40B4-BE49-F238E27FC236}">
              <a16:creationId xmlns:a16="http://schemas.microsoft.com/office/drawing/2014/main" id="{00000000-0008-0000-0200-000002340000}"/>
            </a:ext>
          </a:extLst>
        </xdr:cNvPr>
        <xdr:cNvSpPr/>
      </xdr:nvSpPr>
      <xdr:spPr bwMode="auto">
        <a:xfrm>
          <a:off x="0" y="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11</xdr:col>
      <xdr:colOff>619125</xdr:colOff>
      <xdr:row>80</xdr:row>
      <xdr:rowOff>66675</xdr:rowOff>
    </xdr:from>
    <xdr:to>
      <xdr:col>12</xdr:col>
      <xdr:colOff>385449</xdr:colOff>
      <xdr:row>86</xdr:row>
      <xdr:rowOff>85725</xdr:rowOff>
    </xdr:to>
    <xdr:pic>
      <xdr:nvPicPr>
        <xdr:cNvPr id="2" name="InfoCorner" descr="Cerchio, cliente, help, info, informazioni, assistenza, supporto Icona">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163300" y="13782675"/>
          <a:ext cx="1014099" cy="990600"/>
        </a:xfrm>
        <a:prstGeom prst="rect">
          <a:avLst/>
        </a:prstGeom>
        <a:noFill/>
        <a:extLst>
          <a:ext uri="{909E8E84-426E-40DD-AFC4-6F175D3DCCD1}">
            <a14:hiddenFill xmlns:a14="http://schemas.microsoft.com/office/drawing/2010/main">
              <a:solidFill>
                <a:srgbClr val="FFFFFF"/>
              </a:solidFill>
            </a14:hiddenFill>
          </a:ext>
        </a:extLst>
      </xdr:spPr>
    </xdr:pic>
    <xdr:clientData fPrintsWithSheet="0"/>
  </xdr:twoCellAnchor>
  <xdr:twoCellAnchor editAs="oneCell">
    <xdr:from>
      <xdr:col>5</xdr:col>
      <xdr:colOff>95250</xdr:colOff>
      <xdr:row>78</xdr:row>
      <xdr:rowOff>19050</xdr:rowOff>
    </xdr:from>
    <xdr:to>
      <xdr:col>7</xdr:col>
      <xdr:colOff>400391</xdr:colOff>
      <xdr:row>89</xdr:row>
      <xdr:rowOff>1628</xdr:rowOff>
    </xdr:to>
    <xdr:pic>
      <xdr:nvPicPr>
        <xdr:cNvPr id="3" name="PATROLWALL+SPEAR">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4162425" y="13411200"/>
          <a:ext cx="2934041" cy="1763753"/>
        </a:xfrm>
        <a:prstGeom prst="rect">
          <a:avLst/>
        </a:prstGeom>
        <a:ln w="9525">
          <a:solidFill>
            <a:schemeClr val="tx1"/>
          </a:solidFill>
        </a:ln>
      </xdr:spPr>
    </xdr:pic>
    <xdr:clientData/>
  </xdr:twoCellAnchor>
  <xdr:twoCellAnchor editAs="oneCell">
    <xdr:from>
      <xdr:col>11</xdr:col>
      <xdr:colOff>114300</xdr:colOff>
      <xdr:row>75</xdr:row>
      <xdr:rowOff>95250</xdr:rowOff>
    </xdr:from>
    <xdr:to>
      <xdr:col>11</xdr:col>
      <xdr:colOff>1133475</xdr:colOff>
      <xdr:row>81</xdr:row>
      <xdr:rowOff>47625</xdr:rowOff>
    </xdr:to>
    <xdr:pic>
      <xdr:nvPicPr>
        <xdr:cNvPr id="4" name="TextBox1">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658475" y="13001625"/>
          <a:ext cx="10191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3</xdr:col>
      <xdr:colOff>0</xdr:colOff>
      <xdr:row>3</xdr:row>
      <xdr:rowOff>0</xdr:rowOff>
    </xdr:from>
    <xdr:to>
      <xdr:col>4</xdr:col>
      <xdr:colOff>204788</xdr:colOff>
      <xdr:row>6</xdr:row>
      <xdr:rowOff>159884</xdr:rowOff>
    </xdr:to>
    <xdr:grpSp>
      <xdr:nvGrpSpPr>
        <xdr:cNvPr id="2" name="Gruppo 1">
          <a:extLst>
            <a:ext uri="{FF2B5EF4-FFF2-40B4-BE49-F238E27FC236}">
              <a16:creationId xmlns:a16="http://schemas.microsoft.com/office/drawing/2014/main" id="{00000000-0008-0000-0300-000002000000}"/>
            </a:ext>
          </a:extLst>
        </xdr:cNvPr>
        <xdr:cNvGrpSpPr>
          <a:grpSpLocks noChangeAspect="1"/>
        </xdr:cNvGrpSpPr>
      </xdr:nvGrpSpPr>
      <xdr:grpSpPr>
        <a:xfrm>
          <a:off x="7086600" y="838200"/>
          <a:ext cx="890588" cy="702809"/>
          <a:chOff x="393398" y="152991"/>
          <a:chExt cx="1009651" cy="792056"/>
        </a:xfrm>
      </xdr:grpSpPr>
      <xdr:sp macro="" textlink="">
        <xdr:nvSpPr>
          <xdr:cNvPr id="3" name="Rettangolo con angoli arrotondati 2">
            <a:extLst>
              <a:ext uri="{FF2B5EF4-FFF2-40B4-BE49-F238E27FC236}">
                <a16:creationId xmlns:a16="http://schemas.microsoft.com/office/drawing/2014/main" id="{00000000-0008-0000-0300-000003000000}"/>
              </a:ext>
            </a:extLst>
          </xdr:cNvPr>
          <xdr:cNvSpPr/>
        </xdr:nvSpPr>
        <xdr:spPr>
          <a:xfrm>
            <a:off x="393398" y="152991"/>
            <a:ext cx="1009651" cy="792056"/>
          </a:xfrm>
          <a:prstGeom prst="roundRect">
            <a:avLst/>
          </a:prstGeom>
          <a:solidFill>
            <a:srgbClr val="DE243D"/>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it-IT" sz="2000">
              <a:solidFill>
                <a:schemeClr val="bg1"/>
              </a:solidFill>
            </a:endParaRPr>
          </a:p>
        </xdr:txBody>
      </xdr:sp>
      <xdr:pic>
        <xdr:nvPicPr>
          <xdr:cNvPr id="4" name="Elemento grafico 3" descr="Home con riempimento a tinta unita">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4945" y="258358"/>
            <a:ext cx="514970" cy="590865"/>
          </a:xfrm>
          <a:prstGeom prst="rect">
            <a:avLst/>
          </a:prstGeom>
        </xdr:spPr>
      </xdr:pic>
    </xdr:grpSp>
    <xdr:clientData/>
  </xdr:twoCellAnchor>
</xdr:wsDr>
</file>

<file path=xl/persons/person.xml><?xml version="1.0" encoding="utf-8"?>
<personList xmlns="http://schemas.microsoft.com/office/spreadsheetml/2018/threadedcomments" xmlns:x="http://schemas.openxmlformats.org/spreadsheetml/2006/main">
  <person displayName="Leonardo Diaco" id="{72B6D054-763A-4CAD-97BA-A7FA8D4219CC}" userId="S::Leonardo.Diaco@rothoblaas.com::6ecdb9ad-ec00-4872-90f0-60971ff01f46" providerId="AD"/>
</personList>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Calculator">
      <a:majorFont>
        <a:latin typeface="Verdana Pro Cond"/>
        <a:ea typeface=""/>
        <a:cs typeface=""/>
      </a:majorFont>
      <a:minorFont>
        <a:latin typeface="Verdana Pro Cond L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noFill/>
        <a:ln w="3175">
          <a:noFill/>
        </a:ln>
      </a:spPr>
      <a:bodyPr vertOverflow="clip" horzOverflow="clip" rtlCol="0" anchor="t"/>
      <a:lstStyle>
        <a:defPPr algn="l">
          <a:defRPr sz="1100"/>
        </a:defPPr>
      </a:lstStyle>
      <a:style>
        <a:lnRef idx="2">
          <a:schemeClr val="accent1">
            <a:shade val="15000"/>
          </a:schemeClr>
        </a:lnRef>
        <a:fillRef idx="1">
          <a:schemeClr val="accent1"/>
        </a:fillRef>
        <a:effectRef idx="0">
          <a:schemeClr val="accent1"/>
        </a:effectRef>
        <a:fontRef idx="minor">
          <a:schemeClr val="lt1"/>
        </a:fontRef>
      </a:style>
    </a:sp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AI4" dT="2022-05-27T08:45:05.97" personId="{72B6D054-763A-4CAD-97BA-A7FA8D4219CC}" id="{DFE4CABA-BA31-48A1-8FB1-C74E3550DEBC}">
    <text>Prendere ID dal file di testo dentro la cartella delle curve di capacità degli ancoranti</text>
  </threadedComment>
</ThreadedComments>
</file>

<file path=xl/webextensions/_rels/taskpanes.xml.rels><?xml version="1.0" encoding="UTF-8" standalone="yes"?>
<Relationships xmlns="http://schemas.openxmlformats.org/package/2006/relationships"><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350" row="11">
    <wetp:webextensionref xmlns:r="http://schemas.openxmlformats.org/officeDocument/2006/relationships" r:id="rId1"/>
  </wetp:taskpane>
</wetp:taskpanes>
</file>

<file path=xl/webextensions/webextension1.xml><?xml version="1.0" encoding="utf-8"?>
<we:webextension xmlns:we="http://schemas.microsoft.com/office/webextensions/webextension/2010/11" id="{FB5DDC27-CA7D-4494-9478-92155C8AA3E2}">
  <we:reference id="wa200004796" version="1.0.0.0" store="it-IT" storeType="OMEX"/>
  <we:alternateReferences>
    <we:reference id="WA200004796" version="1.0.0.0" store="WA200004796" storeType="OMEX"/>
  </we:alternateReferences>
  <we:properties/>
  <we:bindings/>
  <we:snapshot xmlns:r="http://schemas.openxmlformats.org/officeDocument/2006/relationships"/>
  <we:extLst>
    <a:ext xmlns:a="http://schemas.openxmlformats.org/drawingml/2006/main" uri="{D87F86FE-615C-45B5-9D79-34F1136793EB}">
      <we:containsCustomFunctions/>
    </a:ext>
    <a:ext xmlns:a="http://schemas.openxmlformats.org/drawingml/2006/main" uri="{7C84B067-C214-45C3-A712-C9D94CD141B2}">
      <we:customFunctionIdList>
        <we:customFunctionIds>_xldudf_TRANSLATOR_TEXTTRANSLATOR</we:customFunctionIds>
        <we:customFunctionIds>_xldudf_TRANSLATOR_DETECTLANGUAGE</we:customFunctionIds>
      </we:customFunctionIdList>
    </a:ext>
  </we:extLst>
</we:webextension>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ctrlProp" Target="../ctrlProps/ctrlProp3.x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ctrlProp" Target="../ctrlProps/ctrlProp2.xml"/><Relationship Id="rId5" Type="http://schemas.openxmlformats.org/officeDocument/2006/relationships/ctrlProp" Target="../ctrlProps/ctrlProp1.xml"/><Relationship Id="rId4" Type="http://schemas.openxmlformats.org/officeDocument/2006/relationships/vmlDrawing" Target="../drawings/vmlDrawing2.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microsoft.com/office/2017/10/relationships/threadedComment" Target="../threadedComments/threadedComment1.xml"/><Relationship Id="rId5" Type="http://schemas.openxmlformats.org/officeDocument/2006/relationships/comments" Target="../comments1.xml"/><Relationship Id="rId4" Type="http://schemas.openxmlformats.org/officeDocument/2006/relationships/vmlDrawing" Target="../drawings/vmlDrawing4.v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7316E7-C842-4841-ABD6-8EB85851E16C}">
  <sheetPr codeName="Sh1" filterMode="1">
    <tabColor rgb="FFDE243D"/>
    <pageSetUpPr fitToPage="1"/>
  </sheetPr>
  <dimension ref="A1:BB258"/>
  <sheetViews>
    <sheetView showGridLines="0" showRowColHeaders="0" tabSelected="1" showRuler="0" zoomScale="101" zoomScaleNormal="101" zoomScalePageLayoutView="85" workbookViewId="0">
      <selection activeCell="F9" sqref="F9:G9"/>
    </sheetView>
  </sheetViews>
  <sheetFormatPr defaultColWidth="0" defaultRowHeight="12.75" zeroHeight="1"/>
  <cols>
    <col min="1" max="1" width="1.875" style="421" customWidth="1"/>
    <col min="2" max="2" width="5.625" style="350" customWidth="1"/>
    <col min="3" max="4" width="10" style="350" customWidth="1"/>
    <col min="5" max="5" width="10.875" style="350" bestFit="1" customWidth="1"/>
    <col min="6" max="6" width="12.5" style="350" bestFit="1" customWidth="1"/>
    <col min="7" max="7" width="11.375" style="353" bestFit="1" customWidth="1"/>
    <col min="8" max="9" width="11.375" style="350" customWidth="1"/>
    <col min="10" max="10" width="11.375" style="350" bestFit="1" customWidth="1"/>
    <col min="11" max="11" width="10" style="350" customWidth="1"/>
    <col min="12" max="12" width="10" style="359" customWidth="1"/>
    <col min="13" max="13" width="11.375" style="350" bestFit="1" customWidth="1"/>
    <col min="14" max="15" width="5.625" style="350" customWidth="1"/>
    <col min="16" max="23" width="10" style="350" customWidth="1"/>
    <col min="24" max="24" width="14.5" style="350" bestFit="1" customWidth="1"/>
    <col min="25" max="25" width="8.375" style="370" hidden="1" customWidth="1"/>
    <col min="26" max="26" width="8.375" style="350" hidden="1" customWidth="1"/>
    <col min="27" max="27" width="11.875" style="351" hidden="1" customWidth="1"/>
    <col min="28" max="28" width="25.5" style="350" hidden="1" customWidth="1"/>
    <col min="29" max="29" width="6" style="362" hidden="1" customWidth="1"/>
    <col min="30" max="30" width="7.625" style="350" hidden="1" customWidth="1"/>
    <col min="31" max="31" width="5.5" style="350" hidden="1" customWidth="1"/>
    <col min="32" max="32" width="7.875" style="350" hidden="1" customWidth="1"/>
    <col min="33" max="33" width="7" style="350" hidden="1" customWidth="1"/>
    <col min="34" max="34" width="10" style="350" hidden="1" customWidth="1"/>
    <col min="35" max="35" width="8.625" style="350" hidden="1" customWidth="1"/>
    <col min="36" max="36" width="8.375" style="350" hidden="1" customWidth="1"/>
    <col min="37" max="37" width="6.375" style="350" hidden="1" customWidth="1"/>
    <col min="38" max="38" width="15.875" style="350" hidden="1" customWidth="1"/>
    <col min="39" max="42" width="9" style="350" hidden="1" customWidth="1"/>
    <col min="43" max="43" width="14" style="350" hidden="1" customWidth="1"/>
    <col min="44" max="44" width="9" style="350" hidden="1" customWidth="1"/>
    <col min="45" max="45" width="8.5" style="350" hidden="1" customWidth="1"/>
    <col min="46" max="46" width="7.75" style="350" hidden="1" customWidth="1"/>
    <col min="47" max="47" width="16" style="350" hidden="1" customWidth="1"/>
    <col min="48" max="49" width="4.25" style="350" hidden="1" customWidth="1"/>
    <col min="50" max="50" width="6.375" style="350" hidden="1" customWidth="1"/>
    <col min="51" max="51" width="3.75" style="350" hidden="1" customWidth="1"/>
    <col min="52" max="52" width="4" style="350" hidden="1" customWidth="1"/>
    <col min="53" max="54" width="10.625" style="350" hidden="1" customWidth="1"/>
    <col min="55" max="55" width="0" style="350" hidden="1" customWidth="1"/>
    <col min="56" max="16384" width="0" style="350" hidden="1"/>
  </cols>
  <sheetData>
    <row r="1" spans="2:29" ht="66" customHeight="1">
      <c r="L1" s="354"/>
      <c r="M1" s="355"/>
      <c r="AC1" s="356"/>
    </row>
    <row r="2" spans="2:29" ht="27.75" customHeight="1">
      <c r="C2" s="346"/>
      <c r="D2" s="346"/>
      <c r="E2" s="346"/>
      <c r="F2" s="346"/>
      <c r="G2" s="347"/>
      <c r="H2" s="346"/>
      <c r="I2" s="346"/>
      <c r="J2" s="346"/>
      <c r="K2" s="346"/>
      <c r="L2" s="348"/>
      <c r="M2" s="349"/>
      <c r="N2" s="354"/>
      <c r="AC2" s="356"/>
    </row>
    <row r="3" spans="2:29" ht="15" customHeight="1">
      <c r="B3" s="352"/>
      <c r="C3" s="471"/>
      <c r="D3" s="510" t="str">
        <f>+Trads!A602</f>
        <v>Forze e deformazione del sistema</v>
      </c>
      <c r="E3" s="510"/>
      <c r="F3" s="510"/>
      <c r="G3" s="510"/>
      <c r="H3" s="510"/>
      <c r="I3" s="510"/>
      <c r="J3" s="510"/>
      <c r="K3" s="510"/>
      <c r="L3" s="510"/>
      <c r="M3" s="471"/>
      <c r="N3" s="352"/>
      <c r="O3" s="352"/>
      <c r="P3" s="352"/>
      <c r="Q3" s="352"/>
      <c r="R3" s="352"/>
      <c r="S3" s="352"/>
      <c r="AB3" s="350" t="str">
        <f>+IF(OR(F9="",F11="",AND(F9="TOWER / TOWERXL",F11="SPEAREVO")),"FALSO",_xlfn.CONCAT(F9,"+",F11))</f>
        <v>FALSO</v>
      </c>
      <c r="AC3" s="356"/>
    </row>
    <row r="4" spans="2:29" ht="5.0999999999999996" customHeight="1">
      <c r="L4" s="354"/>
      <c r="M4" s="355"/>
      <c r="AC4" s="356"/>
    </row>
    <row r="5" spans="2:29" ht="15" customHeight="1">
      <c r="C5" s="527" t="str">
        <f>+Trads!$A$4</f>
        <v>Lingua</v>
      </c>
      <c r="D5" s="528"/>
      <c r="E5" s="529" t="s">
        <v>385</v>
      </c>
      <c r="F5" s="529"/>
      <c r="I5" s="527" t="str">
        <f>+Trads!A115</f>
        <v>Data</v>
      </c>
      <c r="J5" s="528"/>
      <c r="K5" s="611">
        <f ca="1">TODAY()</f>
        <v>45209</v>
      </c>
      <c r="L5" s="612"/>
      <c r="M5" s="355"/>
      <c r="O5" s="488"/>
      <c r="AC5" s="356"/>
    </row>
    <row r="6" spans="2:29" ht="5.0999999999999996" customHeight="1">
      <c r="L6" s="354"/>
      <c r="M6" s="355"/>
      <c r="AC6" s="356"/>
    </row>
    <row r="7" spans="2:29" ht="15" customHeight="1">
      <c r="B7" s="355"/>
      <c r="C7" s="527" t="str">
        <f>+Trads!A6</f>
        <v>Rif. Progetto</v>
      </c>
      <c r="D7" s="528"/>
      <c r="E7" s="614"/>
      <c r="F7" s="614"/>
      <c r="G7" s="614"/>
      <c r="H7" s="614"/>
      <c r="I7" s="614"/>
      <c r="J7" s="614"/>
      <c r="K7" s="614"/>
      <c r="L7" s="614"/>
      <c r="M7" s="355"/>
      <c r="P7" s="355"/>
      <c r="Q7" s="355"/>
      <c r="R7" s="355"/>
      <c r="S7" s="355"/>
      <c r="AC7" s="356"/>
    </row>
    <row r="8" spans="2:29" ht="5.0999999999999996" customHeight="1">
      <c r="B8" s="355"/>
      <c r="C8" s="355"/>
      <c r="D8" s="355"/>
      <c r="E8" s="355"/>
      <c r="F8" s="355"/>
      <c r="G8" s="355"/>
      <c r="H8" s="355"/>
      <c r="I8" s="355"/>
      <c r="J8" s="355"/>
      <c r="K8" s="355"/>
      <c r="L8" s="355"/>
      <c r="M8" s="355"/>
      <c r="N8" s="355"/>
      <c r="O8" s="355"/>
      <c r="P8" s="355"/>
      <c r="Q8" s="355"/>
      <c r="R8" s="355"/>
      <c r="S8" s="355"/>
      <c r="AC8" s="356"/>
    </row>
    <row r="9" spans="2:29" ht="15" customHeight="1">
      <c r="B9" s="355"/>
      <c r="C9" s="613" t="str">
        <f>PROPER(+Trads!A2)</f>
        <v>Supporto</v>
      </c>
      <c r="D9" s="613"/>
      <c r="E9" s="613"/>
      <c r="F9" s="532"/>
      <c r="G9" s="533"/>
      <c r="H9" s="535"/>
      <c r="I9" s="535"/>
      <c r="J9" s="535"/>
      <c r="K9" s="535"/>
      <c r="L9" s="355"/>
      <c r="M9" s="355"/>
      <c r="N9" s="355"/>
      <c r="O9" s="355"/>
      <c r="R9" s="355"/>
      <c r="S9" s="355"/>
      <c r="AC9" s="356"/>
    </row>
    <row r="10" spans="2:29" ht="5.0999999999999996" customHeight="1">
      <c r="B10" s="355"/>
      <c r="C10" s="355"/>
      <c r="D10" s="355"/>
      <c r="E10" s="355"/>
      <c r="F10" s="355"/>
      <c r="G10" s="355"/>
      <c r="H10" s="535"/>
      <c r="I10" s="535"/>
      <c r="J10" s="535"/>
      <c r="K10" s="535"/>
      <c r="L10" s="355"/>
      <c r="M10" s="355"/>
      <c r="N10" s="355"/>
      <c r="O10" s="355"/>
      <c r="P10" s="355"/>
      <c r="Q10" s="355"/>
      <c r="R10" s="355"/>
      <c r="S10" s="355"/>
      <c r="AC10" s="356"/>
    </row>
    <row r="11" spans="2:29" ht="15" customHeight="1">
      <c r="B11" s="355"/>
      <c r="C11" s="613" t="str">
        <f>PROPER(+Trads!A603)</f>
        <v>Assorbitore-Tensionatore</v>
      </c>
      <c r="D11" s="613"/>
      <c r="E11" s="613"/>
      <c r="F11" s="532"/>
      <c r="G11" s="533"/>
      <c r="H11" s="535"/>
      <c r="I11" s="535"/>
      <c r="J11" s="535"/>
      <c r="K11" s="535"/>
      <c r="L11" s="355"/>
      <c r="M11" s="355"/>
      <c r="N11" s="355"/>
      <c r="O11" s="355"/>
      <c r="R11" s="355"/>
      <c r="S11" s="355"/>
      <c r="AB11" s="350" t="str">
        <f>+_xlfn.CONCAT(Trads!A372," ",Trads!A373)</f>
        <v>Stampa Relazione Tecnica</v>
      </c>
      <c r="AC11" s="356"/>
    </row>
    <row r="12" spans="2:29" ht="5.0999999999999996" customHeight="1">
      <c r="B12" s="355"/>
      <c r="C12" s="355"/>
      <c r="D12" s="355"/>
      <c r="E12" s="355"/>
      <c r="F12" s="355"/>
      <c r="G12" s="355"/>
      <c r="H12" s="535"/>
      <c r="I12" s="535"/>
      <c r="J12" s="535"/>
      <c r="K12" s="535"/>
      <c r="L12" s="355"/>
      <c r="M12" s="355"/>
      <c r="N12" s="355"/>
      <c r="O12" s="355"/>
      <c r="P12" s="355"/>
      <c r="Q12" s="355"/>
      <c r="R12" s="355"/>
      <c r="S12" s="355"/>
      <c r="AC12" s="356"/>
    </row>
    <row r="13" spans="2:29" ht="15" customHeight="1">
      <c r="B13" s="355"/>
      <c r="C13" s="613" t="str">
        <f>PROPER(+Trads!A605)</f>
        <v>Numero Max Di Utenti</v>
      </c>
      <c r="D13" s="613"/>
      <c r="E13" s="613"/>
      <c r="F13" s="433" t="str">
        <f>_xlfn.IFNA(+VLOOKUP(F9,DB_Supporti,SupGen!Q11,FALSE),"")</f>
        <v/>
      </c>
      <c r="H13" s="535"/>
      <c r="I13" s="535"/>
      <c r="J13" s="535"/>
      <c r="K13" s="535"/>
      <c r="L13" s="355"/>
      <c r="M13" s="355"/>
      <c r="N13" s="355"/>
      <c r="O13" s="355"/>
      <c r="P13" s="355"/>
      <c r="Q13" s="355"/>
      <c r="R13" s="355"/>
      <c r="S13" s="355"/>
      <c r="AC13" s="356"/>
    </row>
    <row r="14" spans="2:29" ht="5.0999999999999996" customHeight="1">
      <c r="B14" s="355"/>
      <c r="C14" s="355"/>
      <c r="D14" s="355"/>
      <c r="E14" s="355"/>
      <c r="F14" s="355"/>
      <c r="G14" s="355"/>
      <c r="H14" s="535"/>
      <c r="I14" s="535"/>
      <c r="J14" s="535"/>
      <c r="K14" s="535"/>
      <c r="L14" s="355"/>
      <c r="M14" s="355"/>
      <c r="N14" s="355"/>
      <c r="O14" s="355"/>
      <c r="P14" s="355"/>
      <c r="Q14" s="355"/>
      <c r="R14" s="355"/>
      <c r="S14" s="355"/>
      <c r="AC14" s="356"/>
    </row>
    <row r="15" spans="2:29" ht="15" customHeight="1">
      <c r="B15" s="355"/>
      <c r="C15" s="615"/>
      <c r="D15" s="615"/>
      <c r="E15" s="615"/>
      <c r="F15" s="513"/>
      <c r="G15" s="514"/>
      <c r="H15" s="535"/>
      <c r="I15" s="535"/>
      <c r="J15" s="535"/>
      <c r="K15" s="535"/>
      <c r="L15" s="355"/>
      <c r="M15" s="355"/>
      <c r="N15" s="355"/>
      <c r="O15" s="355"/>
      <c r="R15" s="355"/>
      <c r="S15" s="355"/>
      <c r="AC15" s="356"/>
    </row>
    <row r="16" spans="2:29" ht="5.0999999999999996" customHeight="1">
      <c r="B16" s="355"/>
      <c r="C16" s="356"/>
      <c r="D16" s="356"/>
      <c r="E16" s="357"/>
      <c r="F16" s="358"/>
      <c r="G16" s="355"/>
      <c r="H16" s="535"/>
      <c r="I16" s="535"/>
      <c r="J16" s="535"/>
      <c r="K16" s="535"/>
      <c r="L16" s="355"/>
      <c r="M16" s="355"/>
      <c r="N16" s="355"/>
      <c r="O16" s="355"/>
      <c r="P16" s="355"/>
      <c r="Q16" s="355"/>
      <c r="R16" s="355"/>
      <c r="S16" s="355"/>
      <c r="AC16" s="356"/>
    </row>
    <row r="17" spans="1:43" ht="67.5" customHeight="1">
      <c r="B17" s="355"/>
      <c r="C17" s="356"/>
      <c r="D17" s="356"/>
      <c r="E17" s="357"/>
      <c r="F17" s="358"/>
      <c r="G17" s="355"/>
      <c r="H17" s="535"/>
      <c r="I17" s="535"/>
      <c r="J17" s="535"/>
      <c r="K17" s="535"/>
      <c r="L17"/>
      <c r="M17" s="355"/>
      <c r="N17" s="355"/>
      <c r="O17" s="355"/>
      <c r="P17" s="355"/>
      <c r="Q17" s="355"/>
      <c r="R17" s="355"/>
      <c r="S17" s="355"/>
      <c r="AC17" s="356"/>
    </row>
    <row r="18" spans="1:43" ht="5.0999999999999996" customHeight="1">
      <c r="B18" s="355"/>
      <c r="C18" s="355"/>
      <c r="D18" s="355"/>
      <c r="E18" s="355"/>
      <c r="F18" s="355"/>
      <c r="G18" s="355"/>
      <c r="H18" s="355"/>
      <c r="I18" s="355"/>
      <c r="J18" s="355"/>
      <c r="K18" s="355"/>
      <c r="L18" s="355"/>
      <c r="M18" s="355"/>
      <c r="N18" s="355"/>
      <c r="O18" s="355"/>
      <c r="P18" s="355"/>
      <c r="Q18" s="355"/>
      <c r="R18" s="355"/>
      <c r="S18" s="355"/>
      <c r="AC18" s="356"/>
    </row>
    <row r="19" spans="1:43" ht="18" customHeight="1">
      <c r="B19" s="355"/>
      <c r="C19" s="561" t="str">
        <f>+Trads!A606</f>
        <v>Carichi da manuale di installazione (EN795)</v>
      </c>
      <c r="D19" s="562"/>
      <c r="E19" s="562"/>
      <c r="F19" s="562"/>
      <c r="G19" s="562"/>
      <c r="H19" s="562"/>
      <c r="I19" s="562"/>
      <c r="J19" s="562"/>
      <c r="K19" s="562"/>
      <c r="L19" s="562"/>
      <c r="M19" s="563"/>
      <c r="N19" s="355"/>
      <c r="O19" s="355"/>
      <c r="P19" s="355"/>
      <c r="Q19" s="355"/>
      <c r="R19" s="355"/>
      <c r="S19" s="355"/>
      <c r="AC19" s="356"/>
    </row>
    <row r="20" spans="1:43" ht="5.0999999999999996" customHeight="1">
      <c r="B20" s="355"/>
      <c r="C20" s="355"/>
      <c r="D20" s="355"/>
      <c r="E20" s="355"/>
      <c r="F20" s="355"/>
      <c r="G20" s="355"/>
      <c r="H20" s="355"/>
      <c r="I20" s="355"/>
      <c r="J20" s="355"/>
      <c r="K20" s="355"/>
      <c r="L20" s="355"/>
      <c r="M20" s="355"/>
      <c r="N20" s="355"/>
      <c r="O20" s="355"/>
      <c r="P20" s="355"/>
      <c r="Q20" s="355"/>
      <c r="R20" s="355"/>
      <c r="S20" s="355"/>
      <c r="AC20" s="356"/>
    </row>
    <row r="21" spans="1:43" ht="15" customHeight="1">
      <c r="B21" s="355"/>
      <c r="C21" s="564"/>
      <c r="D21" s="564"/>
      <c r="E21" s="564"/>
      <c r="F21" s="566" t="str">
        <f>+Trads!A607</f>
        <v>Interasse</v>
      </c>
      <c r="G21" s="566"/>
      <c r="H21" s="524" t="str">
        <f>+Trads!A608</f>
        <v>Flessione massima Cavo</v>
      </c>
      <c r="I21" s="524"/>
      <c r="J21" s="523" t="str">
        <f>+Trads!A609</f>
        <v>Fmax</v>
      </c>
      <c r="K21" s="523"/>
      <c r="L21" s="515" t="str">
        <f>PROPER(+Trads!A605)</f>
        <v>Numero Max Di Utenti</v>
      </c>
      <c r="M21" s="516"/>
      <c r="N21" s="355"/>
      <c r="O21" s="355"/>
      <c r="P21" s="355"/>
      <c r="Q21" s="355"/>
      <c r="R21" s="355"/>
      <c r="S21" s="355"/>
      <c r="AC21" s="356"/>
      <c r="AM21" s="350" t="s">
        <v>1</v>
      </c>
    </row>
    <row r="22" spans="1:43" ht="5.0999999999999996" customHeight="1">
      <c r="B22" s="355"/>
      <c r="C22" s="564"/>
      <c r="D22" s="564"/>
      <c r="E22" s="564"/>
      <c r="F22" s="566"/>
      <c r="G22" s="566"/>
      <c r="H22" s="524"/>
      <c r="I22" s="524"/>
      <c r="J22" s="523"/>
      <c r="K22" s="523"/>
      <c r="L22" s="517"/>
      <c r="M22" s="518"/>
      <c r="N22" s="355"/>
      <c r="O22" s="355"/>
      <c r="P22" s="355"/>
      <c r="Q22" s="355"/>
      <c r="R22" s="355"/>
      <c r="S22" s="355"/>
      <c r="AC22" s="356"/>
    </row>
    <row r="23" spans="1:43" ht="15" customHeight="1">
      <c r="B23" s="355"/>
      <c r="C23" s="564"/>
      <c r="D23" s="564"/>
      <c r="E23" s="564"/>
      <c r="F23" s="523" t="s">
        <v>2</v>
      </c>
      <c r="G23" s="523"/>
      <c r="H23" s="523" t="s">
        <v>2</v>
      </c>
      <c r="I23" s="523"/>
      <c r="J23" s="521" t="s">
        <v>3</v>
      </c>
      <c r="K23" s="522"/>
      <c r="L23" s="519"/>
      <c r="M23" s="520"/>
      <c r="N23" s="355"/>
      <c r="O23" s="355"/>
      <c r="P23" s="355"/>
      <c r="Q23" s="355"/>
      <c r="R23" s="355"/>
      <c r="S23" s="355"/>
      <c r="AC23" s="356"/>
      <c r="AM23" s="360">
        <f>+COUNTIF(AM34:AM96,TRUE)</f>
        <v>0</v>
      </c>
    </row>
    <row r="24" spans="1:43" ht="5.0999999999999996" customHeight="1">
      <c r="B24" s="355"/>
      <c r="C24" s="565" t="str">
        <f>+Trads!A607&amp;" "&amp;"Max"</f>
        <v>Interasse Max</v>
      </c>
      <c r="D24" s="565"/>
      <c r="E24" s="565"/>
      <c r="F24" s="512" t="str">
        <f>_xlfn.IFNA(VLOOKUP($F$9,DB_Supporti,SupGen!S11,FALSE),"")</f>
        <v/>
      </c>
      <c r="G24" s="512"/>
      <c r="H24" s="536" t="str">
        <f>_xlfn.IFNA(VLOOKUP($F$9,DB_Supporti,SupGen!X11,FALSE),"")</f>
        <v/>
      </c>
      <c r="I24" s="537"/>
      <c r="J24" s="512" t="str">
        <f>_xlfn.IFNA(VLOOKUP($F$9,DB_Supporti,SupGen!V11,FALSE),"")</f>
        <v/>
      </c>
      <c r="K24" s="512"/>
      <c r="L24" s="511" t="str">
        <f>_xlfn.IFNA(+VLOOKUP($F$9,DB_Supporti,SupGen!Q11,FALSE),"")</f>
        <v/>
      </c>
      <c r="M24" s="512"/>
      <c r="N24" s="355"/>
      <c r="O24" s="355"/>
      <c r="P24" s="355"/>
      <c r="Q24" s="355"/>
      <c r="R24" s="355"/>
      <c r="S24" s="355"/>
      <c r="AC24" s="356"/>
    </row>
    <row r="25" spans="1:43" ht="15" customHeight="1">
      <c r="B25" s="355"/>
      <c r="C25" s="565"/>
      <c r="D25" s="565"/>
      <c r="E25" s="565"/>
      <c r="F25" s="512"/>
      <c r="G25" s="512"/>
      <c r="H25" s="538"/>
      <c r="I25" s="539"/>
      <c r="J25" s="512"/>
      <c r="K25" s="512"/>
      <c r="L25" s="512"/>
      <c r="M25" s="512"/>
      <c r="N25" s="355"/>
      <c r="O25" s="355"/>
      <c r="P25" s="355"/>
      <c r="Q25" s="355"/>
      <c r="R25" s="355"/>
      <c r="S25" s="355"/>
      <c r="AC25" s="356"/>
    </row>
    <row r="26" spans="1:43" ht="5.0999999999999996" customHeight="1">
      <c r="B26" s="355"/>
      <c r="C26" s="565" t="str">
        <f>+Trads!A607&amp;" "&amp;"Min"</f>
        <v>Interasse Min</v>
      </c>
      <c r="D26" s="565"/>
      <c r="E26" s="565"/>
      <c r="F26" s="512" t="str">
        <f>_xlfn.IFNA(VLOOKUP($F$9,DB_Supporti,8,FALSE),"")</f>
        <v/>
      </c>
      <c r="G26" s="512"/>
      <c r="H26" s="536" t="str">
        <f>_xlfn.IFNA(VLOOKUP($F$9,DB_Supporti,SupGen!AB11,FALSE),"")</f>
        <v/>
      </c>
      <c r="I26" s="537"/>
      <c r="J26" s="512" t="str">
        <f>_xlfn.IFNA(+VLOOKUP($F$9,DB_Supporti,SupGen!Z11,FALSE),"")</f>
        <v/>
      </c>
      <c r="K26" s="512"/>
      <c r="L26" s="511" t="str">
        <f>_xlfn.IFNA(+VLOOKUP($F$9,DB_Supporti,SupGen!Q11,FALSE),"")</f>
        <v/>
      </c>
      <c r="M26" s="512"/>
      <c r="N26" s="355"/>
      <c r="O26" s="355"/>
      <c r="P26" s="355"/>
      <c r="Q26" s="355"/>
      <c r="R26" s="355"/>
      <c r="S26" s="355"/>
      <c r="AC26" s="356"/>
    </row>
    <row r="27" spans="1:43" ht="15" customHeight="1">
      <c r="B27" s="355"/>
      <c r="C27" s="565"/>
      <c r="D27" s="565"/>
      <c r="E27" s="565"/>
      <c r="F27" s="512"/>
      <c r="G27" s="512"/>
      <c r="H27" s="538"/>
      <c r="I27" s="539"/>
      <c r="J27" s="512"/>
      <c r="K27" s="512"/>
      <c r="L27" s="512"/>
      <c r="M27" s="512"/>
      <c r="N27" s="355"/>
      <c r="O27" s="355"/>
      <c r="P27" s="355"/>
      <c r="Q27" s="355"/>
      <c r="R27" s="355"/>
      <c r="S27" s="355"/>
      <c r="AC27" s="356"/>
    </row>
    <row r="28" spans="1:43" ht="5.0999999999999996" customHeight="1">
      <c r="B28" s="355"/>
      <c r="C28" s="355"/>
      <c r="D28" s="355"/>
      <c r="E28" s="355"/>
      <c r="F28" s="355"/>
      <c r="G28" s="355"/>
      <c r="H28" s="355"/>
      <c r="I28" s="355"/>
      <c r="J28" s="355"/>
      <c r="K28" s="355"/>
      <c r="L28" s="355"/>
      <c r="M28" s="355"/>
      <c r="N28" s="355"/>
      <c r="O28" s="355"/>
      <c r="P28" s="355"/>
      <c r="Q28" s="355"/>
      <c r="R28" s="355"/>
      <c r="S28" s="355"/>
      <c r="AC28" s="356"/>
    </row>
    <row r="29" spans="1:43" ht="15">
      <c r="E29" s="18"/>
      <c r="F29" s="18"/>
      <c r="G29" s="28"/>
      <c r="N29" s="479"/>
      <c r="O29" s="19"/>
      <c r="AC29" s="356"/>
    </row>
    <row r="30" spans="1:43" ht="15">
      <c r="C30" s="421"/>
      <c r="D30" s="421"/>
      <c r="E30" s="421"/>
      <c r="F30" s="610"/>
      <c r="G30" s="610"/>
      <c r="H30" s="610"/>
      <c r="I30" s="610"/>
      <c r="J30" s="610"/>
      <c r="K30" s="610"/>
      <c r="L30" s="610"/>
      <c r="M30" s="610"/>
      <c r="N30" s="480"/>
      <c r="O30" s="19"/>
      <c r="P30" s="19"/>
      <c r="AC30" s="476">
        <v>0</v>
      </c>
    </row>
    <row r="31" spans="1:43" ht="15" hidden="1">
      <c r="A31"/>
      <c r="C31" s="421"/>
      <c r="D31" s="421"/>
      <c r="E31" s="421"/>
      <c r="F31" s="567"/>
      <c r="G31" s="567"/>
      <c r="H31" s="567"/>
      <c r="I31" s="567"/>
      <c r="J31" s="567"/>
      <c r="K31" s="567"/>
      <c r="L31" s="567"/>
      <c r="M31" s="567"/>
      <c r="N31" s="479"/>
      <c r="O31" s="19"/>
      <c r="P31" s="19"/>
      <c r="AC31" s="362">
        <v>0</v>
      </c>
      <c r="AF31" s="350">
        <v>0</v>
      </c>
    </row>
    <row r="32" spans="1:43">
      <c r="B32" s="355"/>
      <c r="C32" s="421"/>
      <c r="D32" s="421"/>
      <c r="E32" s="421"/>
      <c r="F32" s="568"/>
      <c r="G32" s="568"/>
      <c r="H32" s="568"/>
      <c r="I32" s="568"/>
      <c r="J32" s="568"/>
      <c r="K32" s="568"/>
      <c r="L32" s="568"/>
      <c r="M32" s="568"/>
      <c r="N32" s="356"/>
      <c r="AC32" s="362">
        <v>1</v>
      </c>
      <c r="AO32" s="359"/>
      <c r="AQ32" s="356"/>
    </row>
    <row r="33" spans="1:49" ht="14.25">
      <c r="B33" s="355"/>
      <c r="C33" s="557" t="str">
        <f>+Trads!$A$337</f>
        <v>Da Supporto #</v>
      </c>
      <c r="D33" s="595" t="str">
        <f>+Trads!$A$339</f>
        <v>Direzione</v>
      </c>
      <c r="E33" s="596"/>
      <c r="F33" s="559" t="str">
        <f>+Trads!$A$338</f>
        <v>A Supporto #</v>
      </c>
      <c r="G33" s="589" t="str">
        <f>+Trads!$A$341</f>
        <v>Angolo°</v>
      </c>
      <c r="H33" s="590"/>
      <c r="I33" s="599" t="str">
        <f>+Trads!$A$340</f>
        <v>Lunghezza</v>
      </c>
      <c r="J33" s="600"/>
      <c r="K33" s="597" t="str">
        <f>PROPER(Trads!$A$342)</f>
        <v>Lunghezza Misurata</v>
      </c>
      <c r="L33" s="602" t="str">
        <f>PROPER(Trads!A67)</f>
        <v>Interasse Intermedi</v>
      </c>
      <c r="M33" s="603"/>
      <c r="S33" s="470" t="str">
        <f>+IF(D178=FALSE,Trads!A632,"")</f>
        <v>Termine la linea vita con Fine o Loop</v>
      </c>
      <c r="AC33" s="362">
        <v>1</v>
      </c>
      <c r="AJ33" s="213" t="s">
        <v>4</v>
      </c>
      <c r="AK33" s="214" t="e">
        <f>(AH33*1000*Y31*1000)/(Y32*#REF!)</f>
        <v>#REF!</v>
      </c>
      <c r="AL33" s="57"/>
      <c r="AM33" s="500"/>
      <c r="AN33" s="360">
        <f>+F191</f>
        <v>0</v>
      </c>
      <c r="AO33" s="361" t="s">
        <v>5</v>
      </c>
      <c r="AP33" s="360"/>
      <c r="AQ33" s="362"/>
      <c r="AR33" s="360"/>
      <c r="AS33" s="360"/>
      <c r="AT33" s="360"/>
      <c r="AU33" s="360"/>
      <c r="AV33" s="360"/>
      <c r="AW33" s="360"/>
    </row>
    <row r="34" spans="1:49" ht="14.25">
      <c r="B34" s="355"/>
      <c r="C34" s="558"/>
      <c r="D34" s="593"/>
      <c r="E34" s="594"/>
      <c r="F34" s="560"/>
      <c r="G34" s="591"/>
      <c r="H34" s="592"/>
      <c r="I34" s="540"/>
      <c r="J34" s="541"/>
      <c r="K34" s="598"/>
      <c r="L34" s="604"/>
      <c r="M34" s="605"/>
      <c r="AC34" s="362">
        <v>1</v>
      </c>
      <c r="AH34" s="363" t="s">
        <v>6</v>
      </c>
      <c r="AJ34" s="213" t="s">
        <v>7</v>
      </c>
      <c r="AK34" s="214" t="e">
        <f>AK33*SIN(RADIANS(AH35))</f>
        <v>#REF!</v>
      </c>
      <c r="AL34" s="360" t="str">
        <f>+IF(D192=Loop,AM34-$AN$33,"")</f>
        <v/>
      </c>
      <c r="AM34" s="508" t="str">
        <f>IF(M191="","",IF(OR(M191&lt;90,M191&gt;270),TRUE,M191))</f>
        <v/>
      </c>
      <c r="AN34" s="360">
        <f t="shared" ref="AN34:AN64" si="0">+F192</f>
        <v>0</v>
      </c>
      <c r="AO34" s="365">
        <f t="shared" ref="AO34:AO65" si="1">+T191</f>
        <v>0</v>
      </c>
      <c r="AP34" s="360"/>
      <c r="AQ34" s="362" t="str" cm="1">
        <f t="array" ref="AQ34:AU34">TRANSPOSE(First_seg)</f>
        <v>← (180°)</v>
      </c>
      <c r="AR34" s="360" t="str">
        <v>↑ (90°)</v>
      </c>
      <c r="AS34" s="360" t="str">
        <v>→ (0°)</v>
      </c>
      <c r="AT34" s="360" t="str">
        <v>↓ (270°)</v>
      </c>
      <c r="AU34" s="360" t="str">
        <v>Angolo</v>
      </c>
      <c r="AV34" s="360"/>
      <c r="AW34" s="360"/>
    </row>
    <row r="35" spans="1:49" ht="14.25">
      <c r="B35" s="367"/>
      <c r="C35" s="20" t="str" cm="1">
        <f t="array" ref="C35">+_xlfn.IFS(D34=start,1,D34=ShareStart,"X",D34="","")</f>
        <v/>
      </c>
      <c r="D35" s="546"/>
      <c r="E35" s="547"/>
      <c r="F35" s="20" t="str">
        <f>+IF(D35="","",IF(C35="X",1,C35+1))</f>
        <v/>
      </c>
      <c r="G35" s="525"/>
      <c r="H35" s="526"/>
      <c r="I35" s="530"/>
      <c r="J35" s="531"/>
      <c r="K35" s="368" t="str">
        <f t="shared" ref="K35:K66" si="2">IF(G191=0,"",G191)</f>
        <v/>
      </c>
      <c r="L35" s="553" t="str">
        <f t="shared" ref="L35" si="3">IF(+U191=0,"",U191)</f>
        <v/>
      </c>
      <c r="M35" s="554"/>
      <c r="AB35" s="350" t="str">
        <f t="shared" ref="AB35:AB66" si="4">IF(F35="","",+_xlfn.CONCAT(C35,"-",F35))</f>
        <v/>
      </c>
      <c r="AC35" s="362">
        <v>1</v>
      </c>
      <c r="AH35" s="477" t="str">
        <f>IF((IF(ProjSpan=MaxSpan,MaxDef,IF(ProjSpan=MinSpan,MinDef,_xlfn.FORECAST.LINEAR(ProjSpan,DefDB,SpanDB)+IF(AND(ProjSpan&gt;MinSpan,ProjSpan&lt;MaxSpan),0.1,0))))&gt;MaxDef,MaxDef,IF(ProjSpan=MaxSpan,MaxDef,IF(ProjSpan=MinSpan,MinDef,_xlfn.FORECAST.LINEAR(ProjSpan,DefDB,SpanDB)+IF(AND(ProjSpan&gt;MinSpan,ProjSpan&lt;MaxSpan),0.1,0))))</f>
        <v/>
      </c>
      <c r="AL35" s="360" t="str">
        <f t="shared" ref="AL35:AL66" si="5">+IF(D193=Loop,ABS(M192-$AN$33-180),"")</f>
        <v/>
      </c>
      <c r="AM35" s="364" t="str">
        <f t="shared" ref="AM35:AM96" si="6">IF(M192="","",IF(OR(M192&lt;90,M192&gt;270),TRUE,M192))</f>
        <v/>
      </c>
      <c r="AN35" s="360">
        <f t="shared" si="0"/>
        <v>0</v>
      </c>
      <c r="AO35" s="365">
        <f t="shared" si="1"/>
        <v>0</v>
      </c>
      <c r="AP35" s="360"/>
      <c r="AQ35" s="362" t="str" cm="1">
        <f t="array" ref="AQ35">IF(AM33=TRUE,"",TRANSPOSE(_xlfn.IFS(D35="","",AND(OR(D35=End,D35=Loop)),Partenza,D35=up,Angolosu,D35=down,Angolodw,D35=sx,Angolosx,D35=Dx,Angolodx,D35=Angle,Direzioni)))</f>
        <v/>
      </c>
      <c r="AR35" s="360"/>
      <c r="AS35" s="360"/>
      <c r="AT35" s="360"/>
      <c r="AU35" s="360"/>
      <c r="AV35" s="360"/>
      <c r="AW35" s="360"/>
    </row>
    <row r="36" spans="1:49" ht="15" customHeight="1">
      <c r="B36" s="367"/>
      <c r="C36" s="20" t="str">
        <f>IF(OR(C35&lt;&gt;"",C35&lt;&gt;End),IF(I35="","",+F35),"")</f>
        <v/>
      </c>
      <c r="D36" s="546"/>
      <c r="E36" s="547"/>
      <c r="F36" s="20" t="str">
        <f t="shared" ref="F36:F67" si="7">IF(OR(D36=start,D36=ShareStart),"",IF(D36=End,"",IF(D36=Loop,$C$35,IF(D36&lt;&gt;"",C36+1,""))))</f>
        <v/>
      </c>
      <c r="G36" s="525"/>
      <c r="H36" s="526"/>
      <c r="I36" s="530"/>
      <c r="J36" s="531"/>
      <c r="K36" s="368" t="str">
        <f t="shared" si="2"/>
        <v/>
      </c>
      <c r="L36" s="553" t="str">
        <f t="shared" ref="L36" si="8">IF(+U192=0,"",U192)</f>
        <v/>
      </c>
      <c r="M36" s="554"/>
      <c r="AB36" s="350" t="str">
        <f t="shared" si="4"/>
        <v/>
      </c>
      <c r="AC36" s="362">
        <v>1</v>
      </c>
      <c r="AH36" s="370"/>
      <c r="AL36" s="360" t="str">
        <f t="shared" si="5"/>
        <v/>
      </c>
      <c r="AM36" s="364" t="str">
        <f t="shared" si="6"/>
        <v/>
      </c>
      <c r="AN36" s="360">
        <f t="shared" si="0"/>
        <v>0</v>
      </c>
      <c r="AO36" s="365">
        <f t="shared" si="1"/>
        <v>0</v>
      </c>
      <c r="AP36" s="360"/>
      <c r="AQ36" s="362" t="str" cm="1">
        <f t="array" ref="AQ36">IF(AM34=TRUE,"",TRANSPOSE(_xlfn.IFS(D36="","",AND(OR(D36=End,D36=Loop)),Partenza,D36=up,Angolosu,D36=down,Angolodw,D36=sx,Angolosx,D36=Dx,Angolodx,D36=Angle,Direzioni)))</f>
        <v/>
      </c>
      <c r="AR36" s="360"/>
      <c r="AS36" s="360"/>
      <c r="AT36" s="360"/>
      <c r="AU36" s="360"/>
      <c r="AV36" s="360"/>
      <c r="AW36" s="360"/>
    </row>
    <row r="37" spans="1:49" ht="15" customHeight="1">
      <c r="B37" s="367"/>
      <c r="C37" s="20" t="str">
        <f t="shared" ref="C37:C68" si="9">IF(D36=start,MAX(F35,C35)+1,IF(D36=ShareStart,B192,IF(OR(C36&lt;&gt;"",C36&lt;&gt;End),IF(I36="","",+F36),"")))</f>
        <v/>
      </c>
      <c r="D37" s="546"/>
      <c r="E37" s="547"/>
      <c r="F37" s="20" t="str">
        <f t="shared" si="7"/>
        <v/>
      </c>
      <c r="G37" s="525"/>
      <c r="H37" s="526"/>
      <c r="I37" s="530"/>
      <c r="J37" s="531"/>
      <c r="K37" s="368" t="str">
        <f t="shared" si="2"/>
        <v/>
      </c>
      <c r="L37" s="553" t="str">
        <f t="shared" ref="L37:L97" si="10">IF(+U193=0,"",U193)</f>
        <v/>
      </c>
      <c r="M37" s="554"/>
      <c r="AB37" s="350" t="str">
        <f t="shared" si="4"/>
        <v/>
      </c>
      <c r="AC37" s="362">
        <v>1</v>
      </c>
      <c r="AH37" s="370"/>
      <c r="AL37" s="509" t="str">
        <f t="shared" si="5"/>
        <v/>
      </c>
      <c r="AM37" s="364" t="str">
        <f t="shared" si="6"/>
        <v/>
      </c>
      <c r="AN37" s="360">
        <f t="shared" si="0"/>
        <v>0</v>
      </c>
      <c r="AO37" s="365">
        <f t="shared" si="1"/>
        <v>0</v>
      </c>
      <c r="AP37" s="360"/>
      <c r="AQ37" s="362" t="str" cm="1">
        <f t="array" ref="AQ37">IF(AM35=TRUE,"",TRANSPOSE(_xlfn.IFS(D37="","",AND(OR(D37=End,D37=Loop)),Partenza,D37=up,Angolosu,D37=down,Angolodw,D37=sx,Angolosx,D37=Dx,Angolodx,D37=Angle,Direzioni)))</f>
        <v/>
      </c>
      <c r="AR37" s="360"/>
      <c r="AS37" s="360"/>
      <c r="AT37" s="360"/>
      <c r="AU37" s="360"/>
      <c r="AV37" s="360"/>
      <c r="AW37" s="360"/>
    </row>
    <row r="38" spans="1:49" ht="15" customHeight="1">
      <c r="B38" s="367"/>
      <c r="C38" s="20" t="str">
        <f t="shared" si="9"/>
        <v/>
      </c>
      <c r="D38" s="546"/>
      <c r="E38" s="547"/>
      <c r="F38" s="20" t="str">
        <f t="shared" si="7"/>
        <v/>
      </c>
      <c r="G38" s="525"/>
      <c r="H38" s="526"/>
      <c r="I38" s="530"/>
      <c r="J38" s="531"/>
      <c r="K38" s="368" t="str">
        <f t="shared" si="2"/>
        <v/>
      </c>
      <c r="L38" s="553" t="str">
        <f t="shared" si="10"/>
        <v/>
      </c>
      <c r="M38" s="554"/>
      <c r="AB38" s="350" t="str">
        <f t="shared" si="4"/>
        <v/>
      </c>
      <c r="AC38" s="362">
        <v>1</v>
      </c>
      <c r="AH38" s="370" t="s">
        <v>8</v>
      </c>
      <c r="AI38" s="350" t="s">
        <v>9</v>
      </c>
      <c r="AJ38" s="350" t="s">
        <v>10</v>
      </c>
      <c r="AL38" s="360" t="str">
        <f t="shared" si="5"/>
        <v/>
      </c>
      <c r="AM38" s="364" t="str">
        <f>IF(M195="","",IF(OR(M195&lt;90,M195&gt;270),TRUE,M195))</f>
        <v/>
      </c>
      <c r="AN38" s="360">
        <f t="shared" si="0"/>
        <v>0</v>
      </c>
      <c r="AO38" s="365">
        <f t="shared" si="1"/>
        <v>0</v>
      </c>
      <c r="AP38" s="360"/>
      <c r="AQ38" s="362" t="str" cm="1">
        <f t="array" ref="AQ38">IF(AM36=TRUE,"",TRANSPOSE(_xlfn.IFS(D38="","",AND(OR(D38=End,D38=Loop)),Partenza,D38=up,Angolosu,D38=down,Angolodw,D38=sx,Angolosx,D38=Dx,Angolodx,D38=Angle,Direzioni)))</f>
        <v/>
      </c>
      <c r="AR38" s="360"/>
      <c r="AS38" s="360"/>
      <c r="AT38" s="360"/>
      <c r="AU38" s="360"/>
      <c r="AV38" s="360"/>
      <c r="AW38" s="360"/>
    </row>
    <row r="39" spans="1:49" ht="15" customHeight="1">
      <c r="B39" s="367"/>
      <c r="C39" s="20" t="str">
        <f t="shared" si="9"/>
        <v/>
      </c>
      <c r="D39" s="546"/>
      <c r="E39" s="547"/>
      <c r="F39" s="20" t="str">
        <f t="shared" si="7"/>
        <v/>
      </c>
      <c r="G39" s="525"/>
      <c r="H39" s="526"/>
      <c r="I39" s="530"/>
      <c r="J39" s="531"/>
      <c r="K39" s="368" t="str">
        <f t="shared" si="2"/>
        <v/>
      </c>
      <c r="L39" s="553" t="str">
        <f t="shared" si="10"/>
        <v/>
      </c>
      <c r="M39" s="554"/>
      <c r="AB39" s="350" t="str">
        <f t="shared" si="4"/>
        <v/>
      </c>
      <c r="AC39" s="362">
        <v>1</v>
      </c>
      <c r="AH39" s="360" t="str">
        <f>+F24</f>
        <v/>
      </c>
      <c r="AI39" s="364" t="str">
        <f>+H24</f>
        <v/>
      </c>
      <c r="AJ39" s="360" t="str">
        <f>+J24</f>
        <v/>
      </c>
      <c r="AL39" s="360" t="str">
        <f t="shared" si="5"/>
        <v/>
      </c>
      <c r="AM39" s="364" t="str">
        <f t="shared" si="6"/>
        <v/>
      </c>
      <c r="AN39" s="360">
        <f t="shared" si="0"/>
        <v>0</v>
      </c>
      <c r="AO39" s="365">
        <f t="shared" si="1"/>
        <v>0</v>
      </c>
      <c r="AP39" s="360"/>
      <c r="AQ39" s="362" t="str" cm="1">
        <f t="array" ref="AQ39">IF(AM37=TRUE,"",TRANSPOSE(_xlfn.IFS(D39="","",AND(OR(D39=End,D39=Loop)),Partenza,D39=up,Angolosu,D39=down,Angolodw,D39=sx,Angolosx,D39=Dx,Angolodx,D39=Angle,Direzioni)))</f>
        <v/>
      </c>
      <c r="AR39" s="360"/>
      <c r="AS39" s="360"/>
      <c r="AT39" s="360"/>
      <c r="AU39" s="360"/>
      <c r="AV39" s="360"/>
      <c r="AW39" s="360"/>
    </row>
    <row r="40" spans="1:49" ht="14.25">
      <c r="B40" s="367"/>
      <c r="C40" s="20" t="str">
        <f t="shared" si="9"/>
        <v/>
      </c>
      <c r="D40" s="546"/>
      <c r="E40" s="547"/>
      <c r="F40" s="20" t="str">
        <f t="shared" si="7"/>
        <v/>
      </c>
      <c r="G40" s="525"/>
      <c r="H40" s="526"/>
      <c r="I40" s="530"/>
      <c r="J40" s="531"/>
      <c r="K40" s="368" t="str">
        <f t="shared" si="2"/>
        <v/>
      </c>
      <c r="L40" s="553" t="str">
        <f t="shared" ref="L40" si="11">IF(+U196=0,"",U196)</f>
        <v/>
      </c>
      <c r="M40" s="554"/>
      <c r="AB40" s="350" t="str">
        <f t="shared" si="4"/>
        <v/>
      </c>
      <c r="AC40" s="362">
        <v>1</v>
      </c>
      <c r="AH40" s="360" t="str">
        <f>+F26</f>
        <v/>
      </c>
      <c r="AI40" s="364" t="str">
        <f>+H26</f>
        <v/>
      </c>
      <c r="AJ40" s="360" t="str">
        <f>+J26</f>
        <v/>
      </c>
      <c r="AL40" s="360" t="str">
        <f t="shared" si="5"/>
        <v/>
      </c>
      <c r="AM40" s="364" t="str">
        <f t="shared" si="6"/>
        <v/>
      </c>
      <c r="AN40" s="360">
        <f t="shared" si="0"/>
        <v>0</v>
      </c>
      <c r="AO40" s="365">
        <f t="shared" si="1"/>
        <v>0</v>
      </c>
      <c r="AP40" s="360"/>
      <c r="AQ40" s="362" t="str" cm="1">
        <f t="array" ref="AQ40">IF(AM38=TRUE,"",TRANSPOSE(_xlfn.IFS(D40="","",AND(OR(D40=End,D40=Loop)),Partenza,D40=up,Angolosu,D40=down,Angolodw,D40=sx,Angolosx,D40=Dx,Angolodx,D40=Angle,Direzioni)))</f>
        <v/>
      </c>
      <c r="AR40" s="360"/>
      <c r="AS40" s="360"/>
      <c r="AT40" s="360"/>
      <c r="AU40" s="360"/>
      <c r="AV40" s="360"/>
      <c r="AW40" s="360"/>
    </row>
    <row r="41" spans="1:49" ht="14.25" hidden="1">
      <c r="A41" s="366"/>
      <c r="B41" s="367"/>
      <c r="C41" s="20" t="str">
        <f t="shared" si="9"/>
        <v/>
      </c>
      <c r="D41" s="546"/>
      <c r="E41" s="547"/>
      <c r="F41" s="20" t="str">
        <f t="shared" si="7"/>
        <v/>
      </c>
      <c r="G41" s="525"/>
      <c r="H41" s="526"/>
      <c r="I41" s="530"/>
      <c r="J41" s="531"/>
      <c r="K41" s="368" t="str">
        <f t="shared" si="2"/>
        <v/>
      </c>
      <c r="L41" s="553" t="str">
        <f t="shared" si="10"/>
        <v/>
      </c>
      <c r="M41" s="554"/>
      <c r="AB41" s="350" t="str">
        <f t="shared" si="4"/>
        <v/>
      </c>
      <c r="AC41" s="362">
        <f t="shared" ref="AC41:AC56" si="12">+IF(L39="",0,1)</f>
        <v>0</v>
      </c>
      <c r="AH41" s="371" t="s">
        <v>11</v>
      </c>
      <c r="AL41" s="360" t="str">
        <f t="shared" si="5"/>
        <v/>
      </c>
      <c r="AM41" s="364" t="str">
        <f t="shared" si="6"/>
        <v/>
      </c>
      <c r="AN41" s="360">
        <f t="shared" si="0"/>
        <v>0</v>
      </c>
      <c r="AO41" s="365">
        <f t="shared" si="1"/>
        <v>0</v>
      </c>
      <c r="AP41" s="360"/>
      <c r="AQ41" s="362" t="str" cm="1">
        <f t="array" ref="AQ41">IF(AM39=TRUE,"",TRANSPOSE(_xlfn.IFS(D41="","",AND(OR(D41=End,D41=Loop)),Partenza,D41=up,Angolosu,D41=down,Angolodw,D41=sx,Angolosx,D41=Dx,Angolodx,D41=Angle,Direzioni)))</f>
        <v/>
      </c>
      <c r="AR41" s="360"/>
      <c r="AS41" s="360"/>
      <c r="AT41" s="360"/>
      <c r="AU41" s="360"/>
      <c r="AV41" s="360"/>
      <c r="AW41" s="360"/>
    </row>
    <row r="42" spans="1:49" ht="14.25" hidden="1">
      <c r="A42" s="366"/>
      <c r="B42" s="367"/>
      <c r="C42" s="20" t="str">
        <f t="shared" si="9"/>
        <v/>
      </c>
      <c r="D42" s="546"/>
      <c r="E42" s="547"/>
      <c r="F42" s="20" t="str">
        <f t="shared" si="7"/>
        <v/>
      </c>
      <c r="G42" s="525"/>
      <c r="H42" s="526"/>
      <c r="I42" s="530"/>
      <c r="J42" s="531"/>
      <c r="K42" s="368" t="str">
        <f t="shared" si="2"/>
        <v/>
      </c>
      <c r="L42" s="553" t="str">
        <f t="shared" si="10"/>
        <v/>
      </c>
      <c r="M42" s="554"/>
      <c r="AB42" s="350" t="str">
        <f t="shared" si="4"/>
        <v/>
      </c>
      <c r="AC42" s="362">
        <f t="shared" si="12"/>
        <v>0</v>
      </c>
      <c r="AH42" s="372" t="e">
        <f>DEGREES(ATAN((2*DefProjBase)/ProjSpan))</f>
        <v>#VALUE!</v>
      </c>
      <c r="AL42" s="360" t="str">
        <f t="shared" si="5"/>
        <v/>
      </c>
      <c r="AM42" s="364" t="str">
        <f t="shared" si="6"/>
        <v/>
      </c>
      <c r="AN42" s="360">
        <f t="shared" si="0"/>
        <v>0</v>
      </c>
      <c r="AO42" s="365">
        <f t="shared" si="1"/>
        <v>0</v>
      </c>
      <c r="AP42" s="360"/>
      <c r="AQ42" s="362" t="str" cm="1">
        <f t="array" ref="AQ42">IF(AM40=TRUE,"",TRANSPOSE(_xlfn.IFS(D42="","",AND(OR(D42=End,D42=Loop)),Partenza,D42=up,Angolosu,D42=down,Angolodw,D42=sx,Angolosx,D42=Dx,Angolodx,D42=Angle,Direzioni)))</f>
        <v/>
      </c>
      <c r="AR42" s="360"/>
      <c r="AS42" s="360"/>
      <c r="AT42" s="360"/>
      <c r="AU42" s="360"/>
      <c r="AV42" s="360"/>
      <c r="AW42" s="360"/>
    </row>
    <row r="43" spans="1:49" ht="14.25" hidden="1">
      <c r="A43" s="366"/>
      <c r="B43" s="367"/>
      <c r="C43" s="20" t="str">
        <f t="shared" si="9"/>
        <v/>
      </c>
      <c r="D43" s="546"/>
      <c r="E43" s="547"/>
      <c r="F43" s="20" t="str">
        <f t="shared" si="7"/>
        <v/>
      </c>
      <c r="G43" s="525"/>
      <c r="H43" s="526"/>
      <c r="I43" s="530"/>
      <c r="J43" s="531"/>
      <c r="K43" s="368" t="str">
        <f t="shared" si="2"/>
        <v/>
      </c>
      <c r="L43" s="553" t="str">
        <f t="shared" si="10"/>
        <v/>
      </c>
      <c r="M43" s="554"/>
      <c r="AB43" s="350" t="str">
        <f t="shared" si="4"/>
        <v/>
      </c>
      <c r="AC43" s="362">
        <f t="shared" si="12"/>
        <v>0</v>
      </c>
      <c r="AH43" s="373"/>
      <c r="AL43" s="360" t="str">
        <f t="shared" si="5"/>
        <v/>
      </c>
      <c r="AM43" s="364" t="str">
        <f t="shared" si="6"/>
        <v/>
      </c>
      <c r="AN43" s="360">
        <f t="shared" si="0"/>
        <v>0</v>
      </c>
      <c r="AO43" s="365">
        <f t="shared" si="1"/>
        <v>0</v>
      </c>
      <c r="AP43" s="360"/>
      <c r="AQ43" s="362" t="str" cm="1">
        <f t="array" ref="AQ43">IF(AM41=TRUE,"",TRANSPOSE(_xlfn.IFS(D43="","",AND(OR(D43=End,D43=Loop)),Partenza,D43=up,Angolosu,D43=down,Angolodw,D43=sx,Angolosx,D43=Dx,Angolodx,D43=Angle,Direzioni)))</f>
        <v/>
      </c>
      <c r="AR43" s="360"/>
      <c r="AS43" s="360"/>
      <c r="AT43" s="360"/>
      <c r="AU43" s="360"/>
      <c r="AV43" s="360"/>
      <c r="AW43" s="360"/>
    </row>
    <row r="44" spans="1:49" ht="14.25" hidden="1">
      <c r="A44" s="366" t="s">
        <v>12</v>
      </c>
      <c r="B44" s="367"/>
      <c r="C44" s="20" t="str">
        <f t="shared" si="9"/>
        <v/>
      </c>
      <c r="D44" s="546"/>
      <c r="E44" s="547"/>
      <c r="F44" s="20" t="str">
        <f t="shared" si="7"/>
        <v/>
      </c>
      <c r="G44" s="525"/>
      <c r="H44" s="526"/>
      <c r="I44" s="530"/>
      <c r="J44" s="531"/>
      <c r="K44" s="368" t="str">
        <f t="shared" si="2"/>
        <v/>
      </c>
      <c r="L44" s="553" t="str">
        <f t="shared" si="10"/>
        <v/>
      </c>
      <c r="M44" s="554"/>
      <c r="AB44" s="350" t="str">
        <f t="shared" si="4"/>
        <v/>
      </c>
      <c r="AC44" s="362">
        <f t="shared" si="12"/>
        <v>0</v>
      </c>
      <c r="AH44" s="148" t="s">
        <v>13</v>
      </c>
      <c r="AI44" s="148" t="e">
        <f>#REF!*SIN(RADIANS(AI43))</f>
        <v>#REF!</v>
      </c>
      <c r="AL44" s="360" t="str">
        <f t="shared" si="5"/>
        <v/>
      </c>
      <c r="AM44" s="364" t="str">
        <f t="shared" si="6"/>
        <v/>
      </c>
      <c r="AN44" s="360">
        <f t="shared" si="0"/>
        <v>0</v>
      </c>
      <c r="AO44" s="365">
        <f t="shared" si="1"/>
        <v>0</v>
      </c>
      <c r="AP44" s="360"/>
      <c r="AQ44" s="362" t="str" cm="1">
        <f t="array" ref="AQ44">IF(AM42=TRUE,"",TRANSPOSE(_xlfn.IFS(D44="","",AND(OR(D44=End,D44=Loop)),Partenza,D44=up,Angolosu,D44=down,Angolodw,D44=sx,Angolosx,D44=Dx,Angolodx,D44=Angle,Direzioni)))</f>
        <v/>
      </c>
      <c r="AR44" s="360"/>
      <c r="AS44" s="360"/>
      <c r="AT44" s="360"/>
      <c r="AU44" s="360"/>
      <c r="AV44" s="360"/>
      <c r="AW44" s="360"/>
    </row>
    <row r="45" spans="1:49" ht="14.25" hidden="1">
      <c r="A45" s="366"/>
      <c r="B45" s="367"/>
      <c r="C45" s="20" t="str">
        <f t="shared" si="9"/>
        <v/>
      </c>
      <c r="D45" s="546"/>
      <c r="E45" s="547"/>
      <c r="F45" s="20" t="str">
        <f t="shared" si="7"/>
        <v/>
      </c>
      <c r="G45" s="525"/>
      <c r="H45" s="526"/>
      <c r="I45" s="530"/>
      <c r="J45" s="531"/>
      <c r="K45" s="368" t="str">
        <f t="shared" si="2"/>
        <v/>
      </c>
      <c r="L45" s="553" t="str">
        <f t="shared" si="10"/>
        <v/>
      </c>
      <c r="M45" s="554"/>
      <c r="AB45" s="350" t="str">
        <f t="shared" si="4"/>
        <v/>
      </c>
      <c r="AC45" s="362">
        <f t="shared" si="12"/>
        <v>0</v>
      </c>
      <c r="AH45" s="148" t="s">
        <v>14</v>
      </c>
      <c r="AI45" s="148" t="e">
        <f>#REF!*COS(RADIANS(AI43))</f>
        <v>#REF!</v>
      </c>
      <c r="AL45" s="360" t="str">
        <f t="shared" si="5"/>
        <v/>
      </c>
      <c r="AM45" s="364" t="str">
        <f t="shared" si="6"/>
        <v/>
      </c>
      <c r="AN45" s="360">
        <f t="shared" si="0"/>
        <v>0</v>
      </c>
      <c r="AO45" s="365">
        <f t="shared" si="1"/>
        <v>0</v>
      </c>
      <c r="AP45" s="360"/>
      <c r="AQ45" s="362" t="str" cm="1">
        <f t="array" ref="AQ45">IF(AM43=TRUE,"",TRANSPOSE(_xlfn.IFS(D45="","",AND(OR(D45=End,D45=Loop)),Partenza,D45=up,Angolosu,D45=down,Angolodw,D45=sx,Angolosx,D45=Dx,Angolodx,D45=Angle,Direzioni)))</f>
        <v/>
      </c>
      <c r="AR45" s="360"/>
      <c r="AS45" s="360"/>
      <c r="AT45" s="360"/>
      <c r="AU45" s="360"/>
      <c r="AV45" s="360"/>
      <c r="AW45" s="360"/>
    </row>
    <row r="46" spans="1:49" ht="14.25" hidden="1">
      <c r="A46" s="366"/>
      <c r="B46" s="367"/>
      <c r="C46" s="20" t="str">
        <f t="shared" si="9"/>
        <v/>
      </c>
      <c r="D46" s="546"/>
      <c r="E46" s="547"/>
      <c r="F46" s="20" t="str">
        <f t="shared" si="7"/>
        <v/>
      </c>
      <c r="G46" s="525"/>
      <c r="H46" s="526"/>
      <c r="I46" s="530"/>
      <c r="J46" s="531"/>
      <c r="K46" s="368" t="str">
        <f t="shared" si="2"/>
        <v/>
      </c>
      <c r="L46" s="553" t="str">
        <f t="shared" si="10"/>
        <v/>
      </c>
      <c r="M46" s="554"/>
      <c r="Y46" s="492" t="str">
        <f t="shared" ref="Y46:Y71" si="13">IF(AM45="","",AM45&gt;=90)</f>
        <v/>
      </c>
      <c r="AB46" s="350" t="str">
        <f t="shared" si="4"/>
        <v/>
      </c>
      <c r="AC46" s="362">
        <f t="shared" si="12"/>
        <v>0</v>
      </c>
      <c r="AL46" s="360" t="str">
        <f t="shared" si="5"/>
        <v/>
      </c>
      <c r="AM46" s="364" t="str">
        <f t="shared" si="6"/>
        <v/>
      </c>
      <c r="AN46" s="360">
        <f t="shared" si="0"/>
        <v>0</v>
      </c>
      <c r="AO46" s="365">
        <f t="shared" si="1"/>
        <v>0</v>
      </c>
      <c r="AP46" s="360"/>
      <c r="AQ46" s="362" t="str" cm="1">
        <f t="array" ref="AQ46">IF(AM44=TRUE,"",TRANSPOSE(_xlfn.IFS(D46="","",AND(OR(D46=End,D46=Loop)),Partenza,D46=up,Angolosu,D46=down,Angolodw,D46=sx,Angolosx,D46=Dx,Angolodx,D46=Angle,Direzioni)))</f>
        <v/>
      </c>
      <c r="AR46" s="360"/>
      <c r="AS46" s="360"/>
      <c r="AT46" s="360"/>
      <c r="AU46" s="360"/>
      <c r="AV46" s="360"/>
      <c r="AW46" s="360"/>
    </row>
    <row r="47" spans="1:49" ht="14.25" hidden="1">
      <c r="A47" s="366"/>
      <c r="B47" s="367"/>
      <c r="C47" s="20" t="str">
        <f t="shared" si="9"/>
        <v/>
      </c>
      <c r="D47" s="546"/>
      <c r="E47" s="547"/>
      <c r="F47" s="20" t="str">
        <f t="shared" si="7"/>
        <v/>
      </c>
      <c r="G47" s="525"/>
      <c r="H47" s="526"/>
      <c r="I47" s="530"/>
      <c r="J47" s="531"/>
      <c r="K47" s="368" t="str">
        <f t="shared" si="2"/>
        <v/>
      </c>
      <c r="L47" s="553" t="str">
        <f t="shared" si="10"/>
        <v/>
      </c>
      <c r="M47" s="554"/>
      <c r="Y47" s="492" t="str">
        <f t="shared" si="13"/>
        <v/>
      </c>
      <c r="AB47" s="350" t="str">
        <f t="shared" si="4"/>
        <v/>
      </c>
      <c r="AC47" s="362">
        <f t="shared" si="12"/>
        <v>0</v>
      </c>
      <c r="AL47" s="360" t="str">
        <f t="shared" si="5"/>
        <v/>
      </c>
      <c r="AM47" s="364" t="str">
        <f t="shared" si="6"/>
        <v/>
      </c>
      <c r="AN47" s="360">
        <f t="shared" si="0"/>
        <v>0</v>
      </c>
      <c r="AO47" s="365">
        <f t="shared" si="1"/>
        <v>0</v>
      </c>
      <c r="AP47" s="360"/>
      <c r="AQ47" s="362" t="str" cm="1">
        <f t="array" ref="AQ47">IF(AM45=TRUE,"",TRANSPOSE(_xlfn.IFS(D47="","",AND(OR(D47=End,D47=Loop)),Partenza,D47=up,Angolosu,D47=down,Angolodw,D47=sx,Angolosx,D47=Dx,Angolodx,D47=Angle,Direzioni)))</f>
        <v/>
      </c>
      <c r="AR47" s="360"/>
      <c r="AS47" s="360"/>
      <c r="AT47" s="360"/>
      <c r="AU47" s="360"/>
      <c r="AV47" s="360"/>
      <c r="AW47" s="360"/>
    </row>
    <row r="48" spans="1:49" ht="14.25" hidden="1">
      <c r="A48" s="366"/>
      <c r="B48" s="367"/>
      <c r="C48" s="20" t="str">
        <f t="shared" si="9"/>
        <v/>
      </c>
      <c r="D48" s="546"/>
      <c r="E48" s="547"/>
      <c r="F48" s="20" t="str">
        <f t="shared" si="7"/>
        <v/>
      </c>
      <c r="G48" s="525"/>
      <c r="H48" s="526"/>
      <c r="I48" s="530"/>
      <c r="J48" s="531"/>
      <c r="K48" s="368" t="str">
        <f t="shared" si="2"/>
        <v/>
      </c>
      <c r="L48" s="553" t="str">
        <f t="shared" si="10"/>
        <v/>
      </c>
      <c r="M48" s="554"/>
      <c r="Y48" s="492"/>
      <c r="AB48" s="350" t="str">
        <f t="shared" si="4"/>
        <v/>
      </c>
      <c r="AC48" s="362">
        <f t="shared" si="12"/>
        <v>0</v>
      </c>
      <c r="AD48" s="374"/>
      <c r="AE48" s="374"/>
      <c r="AF48" s="374"/>
      <c r="AI48" s="356"/>
      <c r="AL48" s="360" t="str">
        <f t="shared" si="5"/>
        <v/>
      </c>
      <c r="AM48" s="364" t="str">
        <f t="shared" si="6"/>
        <v/>
      </c>
      <c r="AN48" s="360">
        <f t="shared" si="0"/>
        <v>0</v>
      </c>
      <c r="AO48" s="365">
        <f t="shared" si="1"/>
        <v>0</v>
      </c>
      <c r="AP48" s="360"/>
      <c r="AQ48" s="362" t="str" cm="1">
        <f t="array" ref="AQ48">IF(AM46=TRUE,"",TRANSPOSE(_xlfn.IFS(D48="","",AND(OR(D48=End,D48=Loop)),Partenza,D48=up,Angolosu,D48=down,Angolodw,D48=sx,Angolosx,D48=Dx,Angolodx,D48=Angle,Direzioni)))</f>
        <v/>
      </c>
      <c r="AR48" s="360"/>
      <c r="AS48" s="360"/>
      <c r="AT48" s="360"/>
      <c r="AU48" s="360"/>
      <c r="AV48" s="360"/>
      <c r="AW48" s="360"/>
    </row>
    <row r="49" spans="1:49" ht="14.25" hidden="1">
      <c r="A49" s="366"/>
      <c r="B49" s="367"/>
      <c r="C49" s="20" t="str">
        <f t="shared" si="9"/>
        <v/>
      </c>
      <c r="D49" s="546"/>
      <c r="E49" s="547"/>
      <c r="F49" s="20" t="str">
        <f t="shared" si="7"/>
        <v/>
      </c>
      <c r="G49" s="525"/>
      <c r="H49" s="526"/>
      <c r="I49" s="530"/>
      <c r="J49" s="531"/>
      <c r="K49" s="368" t="str">
        <f t="shared" si="2"/>
        <v/>
      </c>
      <c r="L49" s="553" t="str">
        <f t="shared" si="10"/>
        <v/>
      </c>
      <c r="M49" s="554"/>
      <c r="Y49" s="492" t="str">
        <f t="shared" si="13"/>
        <v/>
      </c>
      <c r="AB49" s="350" t="str">
        <f t="shared" si="4"/>
        <v/>
      </c>
      <c r="AC49" s="362">
        <f t="shared" si="12"/>
        <v>0</v>
      </c>
      <c r="AD49" s="374"/>
      <c r="AE49" s="374"/>
      <c r="AF49" s="374"/>
      <c r="AH49" s="375" t="s">
        <v>15</v>
      </c>
      <c r="AI49" s="376">
        <f>+SupTabella!K67</f>
        <v>40</v>
      </c>
      <c r="AL49" s="360" t="str">
        <f t="shared" si="5"/>
        <v/>
      </c>
      <c r="AM49" s="364" t="str">
        <f t="shared" si="6"/>
        <v/>
      </c>
      <c r="AN49" s="360">
        <f t="shared" si="0"/>
        <v>0</v>
      </c>
      <c r="AO49" s="365">
        <f t="shared" si="1"/>
        <v>0</v>
      </c>
      <c r="AP49" s="360"/>
      <c r="AQ49" s="362" t="str" cm="1">
        <f t="array" ref="AQ49">IF(AM47=TRUE,"",TRANSPOSE(_xlfn.IFS(D49="","",AND(OR(D49=End,D49=Loop)),Partenza,D49=up,Angolosu,D49=down,Angolodw,D49=sx,Angolosx,D49=Dx,Angolodx,D49=Angle,Direzioni)))</f>
        <v/>
      </c>
      <c r="AR49" s="360"/>
      <c r="AS49" s="360"/>
      <c r="AT49" s="360"/>
      <c r="AU49" s="360"/>
      <c r="AV49" s="360"/>
      <c r="AW49" s="360"/>
    </row>
    <row r="50" spans="1:49" ht="14.25" hidden="1">
      <c r="A50" s="366"/>
      <c r="B50" s="367"/>
      <c r="C50" s="20" t="str">
        <f t="shared" si="9"/>
        <v/>
      </c>
      <c r="D50" s="546"/>
      <c r="E50" s="547"/>
      <c r="F50" s="20" t="str">
        <f t="shared" si="7"/>
        <v/>
      </c>
      <c r="G50" s="525"/>
      <c r="H50" s="526"/>
      <c r="I50" s="530"/>
      <c r="J50" s="531"/>
      <c r="K50" s="368" t="str">
        <f t="shared" si="2"/>
        <v/>
      </c>
      <c r="L50" s="553" t="str">
        <f t="shared" si="10"/>
        <v/>
      </c>
      <c r="M50" s="554"/>
      <c r="Y50" s="492" t="str">
        <f t="shared" si="13"/>
        <v/>
      </c>
      <c r="AB50" s="350" t="str">
        <f t="shared" si="4"/>
        <v/>
      </c>
      <c r="AC50" s="362">
        <f t="shared" si="12"/>
        <v>0</v>
      </c>
      <c r="AD50" s="374"/>
      <c r="AE50" s="374"/>
      <c r="AF50" s="374"/>
      <c r="AI50" s="356"/>
      <c r="AL50" s="360" t="str">
        <f t="shared" si="5"/>
        <v/>
      </c>
      <c r="AM50" s="364" t="str">
        <f t="shared" si="6"/>
        <v/>
      </c>
      <c r="AN50" s="360">
        <f t="shared" si="0"/>
        <v>0</v>
      </c>
      <c r="AO50" s="365">
        <f t="shared" si="1"/>
        <v>0</v>
      </c>
      <c r="AP50" s="360"/>
      <c r="AQ50" s="362" t="str" cm="1">
        <f t="array" ref="AQ50">IF(AM48=TRUE,"",TRANSPOSE(_xlfn.IFS(D50="","",AND(OR(D50=End,D50=Loop)),Partenza,D50=up,Angolosu,D50=down,Angolodw,D50=sx,Angolosx,D50=Dx,Angolodx,D50=Angle,Direzioni)))</f>
        <v/>
      </c>
      <c r="AR50" s="360"/>
      <c r="AS50" s="360"/>
      <c r="AT50" s="360"/>
      <c r="AU50" s="360"/>
      <c r="AV50" s="360"/>
      <c r="AW50" s="360"/>
    </row>
    <row r="51" spans="1:49" ht="14.25" hidden="1">
      <c r="A51" s="366"/>
      <c r="B51" s="367"/>
      <c r="C51" s="20" t="str">
        <f t="shared" si="9"/>
        <v/>
      </c>
      <c r="D51" s="546"/>
      <c r="E51" s="547"/>
      <c r="F51" s="20" t="str">
        <f t="shared" si="7"/>
        <v/>
      </c>
      <c r="G51" s="525"/>
      <c r="H51" s="526"/>
      <c r="I51" s="530"/>
      <c r="J51" s="531"/>
      <c r="K51" s="368" t="str">
        <f t="shared" si="2"/>
        <v/>
      </c>
      <c r="L51" s="553" t="str">
        <f t="shared" si="10"/>
        <v/>
      </c>
      <c r="M51" s="554"/>
      <c r="Y51" s="492" t="str">
        <f t="shared" si="13"/>
        <v/>
      </c>
      <c r="AB51" s="350" t="str">
        <f t="shared" si="4"/>
        <v/>
      </c>
      <c r="AC51" s="362">
        <f t="shared" si="12"/>
        <v>0</v>
      </c>
      <c r="AD51" s="374"/>
      <c r="AE51" s="374"/>
      <c r="AF51" s="374"/>
      <c r="AI51" s="356"/>
      <c r="AL51" s="360" t="str">
        <f t="shared" si="5"/>
        <v/>
      </c>
      <c r="AM51" s="364" t="str">
        <f t="shared" si="6"/>
        <v/>
      </c>
      <c r="AN51" s="360">
        <f t="shared" si="0"/>
        <v>0</v>
      </c>
      <c r="AO51" s="365">
        <f t="shared" si="1"/>
        <v>0</v>
      </c>
      <c r="AP51" s="360"/>
      <c r="AQ51" s="362" t="str" cm="1">
        <f t="array" ref="AQ51">IF(AM49=TRUE,"",TRANSPOSE(_xlfn.IFS(D51="","",AND(OR(D51=End,D51=Loop)),Partenza,D51=up,Angolosu,D51=down,Angolodw,D51=sx,Angolosx,D51=Dx,Angolodx,D51=Angle,Direzioni)))</f>
        <v/>
      </c>
      <c r="AR51" s="360"/>
      <c r="AS51" s="360"/>
      <c r="AT51" s="360"/>
      <c r="AU51" s="360"/>
      <c r="AV51" s="360"/>
      <c r="AW51" s="360"/>
    </row>
    <row r="52" spans="1:49" ht="14.25" hidden="1">
      <c r="A52" s="366"/>
      <c r="B52" s="367"/>
      <c r="C52" s="20" t="str">
        <f t="shared" si="9"/>
        <v/>
      </c>
      <c r="D52" s="546"/>
      <c r="E52" s="547"/>
      <c r="F52" s="20" t="str">
        <f t="shared" si="7"/>
        <v/>
      </c>
      <c r="G52" s="525"/>
      <c r="H52" s="526"/>
      <c r="I52" s="530"/>
      <c r="J52" s="531"/>
      <c r="K52" s="368" t="str">
        <f t="shared" si="2"/>
        <v/>
      </c>
      <c r="L52" s="553" t="str">
        <f t="shared" si="10"/>
        <v/>
      </c>
      <c r="M52" s="554"/>
      <c r="Y52" s="492" t="str">
        <f t="shared" si="13"/>
        <v/>
      </c>
      <c r="AB52" s="350" t="str">
        <f t="shared" si="4"/>
        <v/>
      </c>
      <c r="AC52" s="362">
        <f t="shared" si="12"/>
        <v>0</v>
      </c>
      <c r="AI52" s="356"/>
      <c r="AL52" s="360" t="str">
        <f t="shared" si="5"/>
        <v/>
      </c>
      <c r="AM52" s="364" t="str">
        <f t="shared" si="6"/>
        <v/>
      </c>
      <c r="AN52" s="360">
        <f t="shared" si="0"/>
        <v>0</v>
      </c>
      <c r="AO52" s="365">
        <f t="shared" si="1"/>
        <v>0</v>
      </c>
      <c r="AP52" s="360"/>
      <c r="AQ52" s="362" t="str" cm="1">
        <f t="array" ref="AQ52">IF(AM50=TRUE,"",TRANSPOSE(_xlfn.IFS(D52="","",AND(OR(D52=End,D52=Loop)),Partenza,D52=up,Angolosu,D52=down,Angolodw,D52=sx,Angolosx,D52=Dx,Angolodx,D52=Angle,Direzioni)))</f>
        <v/>
      </c>
      <c r="AR52" s="360"/>
      <c r="AS52" s="360"/>
      <c r="AT52" s="360"/>
      <c r="AU52" s="360"/>
      <c r="AV52" s="360"/>
      <c r="AW52" s="360"/>
    </row>
    <row r="53" spans="1:49" ht="14.25" hidden="1">
      <c r="A53" s="366"/>
      <c r="B53" s="367"/>
      <c r="C53" s="20" t="str">
        <f t="shared" si="9"/>
        <v/>
      </c>
      <c r="D53" s="546"/>
      <c r="E53" s="547"/>
      <c r="F53" s="20" t="str">
        <f t="shared" si="7"/>
        <v/>
      </c>
      <c r="G53" s="525"/>
      <c r="H53" s="526"/>
      <c r="I53" s="530"/>
      <c r="J53" s="531"/>
      <c r="K53" s="368" t="str">
        <f t="shared" si="2"/>
        <v/>
      </c>
      <c r="L53" s="553" t="str">
        <f t="shared" si="10"/>
        <v/>
      </c>
      <c r="M53" s="554"/>
      <c r="Y53" s="492" t="str">
        <f t="shared" si="13"/>
        <v/>
      </c>
      <c r="AB53" s="350" t="str">
        <f t="shared" si="4"/>
        <v/>
      </c>
      <c r="AC53" s="362">
        <f t="shared" si="12"/>
        <v>0</v>
      </c>
      <c r="AI53" s="356"/>
      <c r="AL53" s="360" t="str">
        <f t="shared" si="5"/>
        <v/>
      </c>
      <c r="AM53" s="364" t="str">
        <f t="shared" si="6"/>
        <v/>
      </c>
      <c r="AN53" s="360">
        <f t="shared" si="0"/>
        <v>0</v>
      </c>
      <c r="AO53" s="365">
        <f t="shared" si="1"/>
        <v>0</v>
      </c>
      <c r="AP53" s="360"/>
      <c r="AQ53" s="362" t="str" cm="1">
        <f t="array" ref="AQ53">IF(AM51=TRUE,"",TRANSPOSE(_xlfn.IFS(D53="","",AND(OR(D53=End,D53=Loop)),Partenza,D53=up,Angolosu,D53=down,Angolodw,D53=sx,Angolosx,D53=Dx,Angolodx,D53=Angle,Direzioni)))</f>
        <v/>
      </c>
      <c r="AR53" s="360"/>
      <c r="AS53" s="360"/>
      <c r="AT53" s="360"/>
      <c r="AU53" s="360"/>
      <c r="AV53" s="360"/>
      <c r="AW53" s="360"/>
    </row>
    <row r="54" spans="1:49" ht="14.25" hidden="1">
      <c r="A54" s="366"/>
      <c r="B54" s="367"/>
      <c r="C54" s="20" t="str">
        <f t="shared" si="9"/>
        <v/>
      </c>
      <c r="D54" s="546"/>
      <c r="E54" s="547"/>
      <c r="F54" s="20" t="str">
        <f t="shared" si="7"/>
        <v/>
      </c>
      <c r="G54" s="525"/>
      <c r="H54" s="526"/>
      <c r="I54" s="530"/>
      <c r="J54" s="531"/>
      <c r="K54" s="368" t="str">
        <f t="shared" si="2"/>
        <v/>
      </c>
      <c r="L54" s="553" t="str">
        <f t="shared" si="10"/>
        <v/>
      </c>
      <c r="M54" s="554"/>
      <c r="Y54" s="492" t="str">
        <f t="shared" si="13"/>
        <v/>
      </c>
      <c r="AB54" s="350" t="str">
        <f t="shared" si="4"/>
        <v/>
      </c>
      <c r="AC54" s="362">
        <f t="shared" si="12"/>
        <v>0</v>
      </c>
      <c r="AI54" s="356"/>
      <c r="AL54" s="360" t="str">
        <f t="shared" si="5"/>
        <v/>
      </c>
      <c r="AM54" s="364" t="str">
        <f t="shared" si="6"/>
        <v/>
      </c>
      <c r="AN54" s="360">
        <f t="shared" si="0"/>
        <v>0</v>
      </c>
      <c r="AO54" s="365">
        <f t="shared" si="1"/>
        <v>0</v>
      </c>
      <c r="AP54" s="360"/>
      <c r="AQ54" s="362" t="str" cm="1">
        <f t="array" ref="AQ54">IF(AM52=TRUE,"",TRANSPOSE(_xlfn.IFS(D54="","",AND(OR(D54=End,D54=Loop)),Partenza,D54=up,Angolosu,D54=down,Angolodw,D54=sx,Angolosx,D54=Dx,Angolodx,D54=Angle,Direzioni)))</f>
        <v/>
      </c>
      <c r="AR54" s="360"/>
      <c r="AS54" s="360"/>
      <c r="AT54" s="360"/>
      <c r="AU54" s="360"/>
      <c r="AV54" s="360"/>
      <c r="AW54" s="360"/>
    </row>
    <row r="55" spans="1:49" ht="14.25" hidden="1">
      <c r="A55" s="366"/>
      <c r="B55" s="367"/>
      <c r="C55" s="20" t="str">
        <f t="shared" si="9"/>
        <v/>
      </c>
      <c r="D55" s="546"/>
      <c r="E55" s="547"/>
      <c r="F55" s="20" t="str">
        <f t="shared" si="7"/>
        <v/>
      </c>
      <c r="G55" s="525"/>
      <c r="H55" s="526"/>
      <c r="I55" s="530"/>
      <c r="J55" s="531"/>
      <c r="K55" s="368" t="str">
        <f t="shared" si="2"/>
        <v/>
      </c>
      <c r="L55" s="553" t="str">
        <f t="shared" si="10"/>
        <v/>
      </c>
      <c r="M55" s="554"/>
      <c r="Y55" s="492" t="str">
        <f t="shared" si="13"/>
        <v/>
      </c>
      <c r="AB55" s="350" t="str">
        <f t="shared" si="4"/>
        <v/>
      </c>
      <c r="AC55" s="362">
        <f t="shared" si="12"/>
        <v>0</v>
      </c>
      <c r="AI55" s="356"/>
      <c r="AL55" s="360" t="str">
        <f t="shared" si="5"/>
        <v/>
      </c>
      <c r="AM55" s="364" t="str">
        <f t="shared" si="6"/>
        <v/>
      </c>
      <c r="AN55" s="360">
        <f t="shared" si="0"/>
        <v>0</v>
      </c>
      <c r="AO55" s="365">
        <f t="shared" si="1"/>
        <v>0</v>
      </c>
      <c r="AP55" s="360"/>
      <c r="AQ55" s="362" t="str" cm="1">
        <f t="array" ref="AQ55">IF(AM53=TRUE,"",TRANSPOSE(_xlfn.IFS(D55="","",AND(OR(D55=End,D55=Loop)),Partenza,D55=up,Angolosu,D55=down,Angolodw,D55=sx,Angolosx,D55=Dx,Angolodx,D55=Angle,Direzioni)))</f>
        <v/>
      </c>
      <c r="AR55" s="360"/>
      <c r="AS55" s="360"/>
      <c r="AT55" s="360"/>
      <c r="AU55" s="360"/>
      <c r="AV55" s="360"/>
      <c r="AW55" s="360"/>
    </row>
    <row r="56" spans="1:49" ht="14.25" hidden="1">
      <c r="A56" s="366"/>
      <c r="B56" s="367"/>
      <c r="C56" s="20" t="str">
        <f t="shared" si="9"/>
        <v/>
      </c>
      <c r="D56" s="546"/>
      <c r="E56" s="547"/>
      <c r="F56" s="20" t="str">
        <f t="shared" si="7"/>
        <v/>
      </c>
      <c r="G56" s="525"/>
      <c r="H56" s="526"/>
      <c r="I56" s="530"/>
      <c r="J56" s="531"/>
      <c r="K56" s="368" t="str">
        <f t="shared" si="2"/>
        <v/>
      </c>
      <c r="L56" s="553" t="str">
        <f t="shared" si="10"/>
        <v/>
      </c>
      <c r="M56" s="554"/>
      <c r="Y56" s="492" t="str">
        <f t="shared" si="13"/>
        <v/>
      </c>
      <c r="AB56" s="350" t="str">
        <f t="shared" si="4"/>
        <v/>
      </c>
      <c r="AC56" s="362">
        <f t="shared" si="12"/>
        <v>0</v>
      </c>
      <c r="AH56" s="377" t="s">
        <v>16</v>
      </c>
      <c r="AI56" s="378">
        <f>+SupTabella!K74</f>
        <v>-40</v>
      </c>
      <c r="AL56" s="360" t="str">
        <f t="shared" si="5"/>
        <v/>
      </c>
      <c r="AM56" s="364" t="str">
        <f t="shared" si="6"/>
        <v/>
      </c>
      <c r="AN56" s="360">
        <f t="shared" si="0"/>
        <v>0</v>
      </c>
      <c r="AO56" s="365">
        <f t="shared" si="1"/>
        <v>0</v>
      </c>
      <c r="AP56" s="360"/>
      <c r="AQ56" s="362" t="str" cm="1">
        <f t="array" ref="AQ56">IF(AM54=TRUE,"",TRANSPOSE(_xlfn.IFS(D56="","",AND(OR(D56=End,D56=Loop)),Partenza,D56=up,Angolosu,D56=down,Angolodw,D56=sx,Angolosx,D56=Dx,Angolodx,D56=Angle,Direzioni)))</f>
        <v/>
      </c>
      <c r="AR56" s="360"/>
      <c r="AS56" s="360"/>
      <c r="AT56" s="360"/>
      <c r="AU56" s="360"/>
      <c r="AV56" s="360"/>
      <c r="AW56" s="360"/>
    </row>
    <row r="57" spans="1:49" ht="14.25" hidden="1">
      <c r="A57" s="366"/>
      <c r="B57" s="367"/>
      <c r="C57" s="20" t="str">
        <f t="shared" si="9"/>
        <v/>
      </c>
      <c r="D57" s="546"/>
      <c r="E57" s="547"/>
      <c r="F57" s="20" t="str">
        <f t="shared" si="7"/>
        <v/>
      </c>
      <c r="G57" s="525"/>
      <c r="H57" s="526"/>
      <c r="I57" s="530"/>
      <c r="J57" s="531"/>
      <c r="K57" s="368" t="str">
        <f t="shared" si="2"/>
        <v/>
      </c>
      <c r="L57" s="553" t="str">
        <f t="shared" si="10"/>
        <v/>
      </c>
      <c r="M57" s="554"/>
      <c r="Y57" s="492" t="str">
        <f t="shared" si="13"/>
        <v/>
      </c>
      <c r="AB57" s="350" t="str">
        <f t="shared" si="4"/>
        <v/>
      </c>
      <c r="AC57" s="362">
        <f t="shared" ref="AC57:AC97" si="14">+IF(L55="",0,1)</f>
        <v>0</v>
      </c>
      <c r="AD57" s="472" t="s">
        <v>17</v>
      </c>
      <c r="AE57" s="378">
        <f>+SupTabella!G75</f>
        <v>-40</v>
      </c>
      <c r="AF57" s="375" t="s">
        <v>18</v>
      </c>
      <c r="AG57" s="376">
        <f>+SupTabella!I75</f>
        <v>40</v>
      </c>
      <c r="AI57" s="356"/>
      <c r="AL57" s="360" t="str">
        <f t="shared" si="5"/>
        <v/>
      </c>
      <c r="AM57" s="364" t="str">
        <f t="shared" si="6"/>
        <v/>
      </c>
      <c r="AN57" s="360">
        <f t="shared" si="0"/>
        <v>0</v>
      </c>
      <c r="AO57" s="365">
        <f t="shared" si="1"/>
        <v>0</v>
      </c>
      <c r="AP57" s="360"/>
      <c r="AQ57" s="362" t="str" cm="1">
        <f t="array" ref="AQ57">IF(AM55=TRUE,"",TRANSPOSE(_xlfn.IFS(D57="","",AND(OR(D57=End,D57=Loop)),Partenza,D57=up,Angolosu,D57=down,Angolodw,D57=sx,Angolosx,D57=Dx,Angolodx,D57=Angle,Direzioni)))</f>
        <v/>
      </c>
      <c r="AR57" s="360"/>
      <c r="AS57" s="360"/>
      <c r="AT57" s="360"/>
      <c r="AU57" s="360"/>
      <c r="AV57" s="360"/>
      <c r="AW57" s="360"/>
    </row>
    <row r="58" spans="1:49" ht="14.25" hidden="1">
      <c r="A58" s="366"/>
      <c r="B58" s="367"/>
      <c r="C58" s="20" t="str">
        <f t="shared" si="9"/>
        <v/>
      </c>
      <c r="D58" s="546"/>
      <c r="E58" s="547"/>
      <c r="F58" s="20" t="str">
        <f t="shared" si="7"/>
        <v/>
      </c>
      <c r="G58" s="525"/>
      <c r="H58" s="526"/>
      <c r="I58" s="530"/>
      <c r="J58" s="531"/>
      <c r="K58" s="368" t="str">
        <f t="shared" si="2"/>
        <v/>
      </c>
      <c r="L58" s="553" t="str">
        <f t="shared" si="10"/>
        <v/>
      </c>
      <c r="M58" s="554"/>
      <c r="Y58" s="492" t="str">
        <f t="shared" si="13"/>
        <v/>
      </c>
      <c r="AB58" s="350" t="str">
        <f t="shared" si="4"/>
        <v/>
      </c>
      <c r="AC58" s="362">
        <f t="shared" si="14"/>
        <v>0</v>
      </c>
      <c r="AL58" s="360" t="str">
        <f t="shared" si="5"/>
        <v/>
      </c>
      <c r="AM58" s="364" t="str">
        <f t="shared" si="6"/>
        <v/>
      </c>
      <c r="AN58" s="360">
        <f t="shared" si="0"/>
        <v>0</v>
      </c>
      <c r="AO58" s="365">
        <f t="shared" si="1"/>
        <v>0</v>
      </c>
      <c r="AP58" s="360"/>
      <c r="AQ58" s="362" t="str" cm="1">
        <f t="array" ref="AQ58">IF(AM56=TRUE,"",TRANSPOSE(_xlfn.IFS(D58="","",AND(OR(D58=End,D58=Loop)),Partenza,D58=up,Angolosu,D58=down,Angolodw,D58=sx,Angolosx,D58=Dx,Angolodx,D58=Angle,Direzioni)))</f>
        <v/>
      </c>
      <c r="AR58" s="360"/>
      <c r="AS58" s="360"/>
      <c r="AT58" s="360"/>
      <c r="AU58" s="360"/>
      <c r="AV58" s="360"/>
      <c r="AW58" s="360"/>
    </row>
    <row r="59" spans="1:49" ht="14.25" hidden="1">
      <c r="A59" s="366"/>
      <c r="B59" s="367"/>
      <c r="C59" s="20" t="str">
        <f t="shared" si="9"/>
        <v/>
      </c>
      <c r="D59" s="546"/>
      <c r="E59" s="547"/>
      <c r="F59" s="20" t="str">
        <f t="shared" si="7"/>
        <v/>
      </c>
      <c r="G59" s="525"/>
      <c r="H59" s="526"/>
      <c r="I59" s="530"/>
      <c r="J59" s="531"/>
      <c r="K59" s="368" t="str">
        <f t="shared" si="2"/>
        <v/>
      </c>
      <c r="L59" s="553" t="str">
        <f t="shared" si="10"/>
        <v/>
      </c>
      <c r="M59" s="554"/>
      <c r="Y59" s="492" t="str">
        <f t="shared" si="13"/>
        <v/>
      </c>
      <c r="AB59" s="350" t="str">
        <f t="shared" si="4"/>
        <v/>
      </c>
      <c r="AC59" s="362">
        <f t="shared" si="14"/>
        <v>0</v>
      </c>
      <c r="AL59" s="360" t="str">
        <f t="shared" si="5"/>
        <v/>
      </c>
      <c r="AM59" s="364" t="str">
        <f t="shared" si="6"/>
        <v/>
      </c>
      <c r="AN59" s="360">
        <f t="shared" si="0"/>
        <v>0</v>
      </c>
      <c r="AO59" s="365">
        <f t="shared" si="1"/>
        <v>0</v>
      </c>
      <c r="AP59" s="360"/>
      <c r="AQ59" s="362" t="str" cm="1">
        <f t="array" ref="AQ59">IF(AM57=TRUE,"",TRANSPOSE(_xlfn.IFS(D59="","",AND(OR(D59=End,D59=Loop)),Partenza,D59=up,Angolosu,D59=down,Angolodw,D59=sx,Angolosx,D59=Dx,Angolodx,D59=Angle,Direzioni)))</f>
        <v/>
      </c>
      <c r="AR59" s="360"/>
      <c r="AS59" s="360"/>
      <c r="AT59" s="360"/>
      <c r="AU59" s="360"/>
      <c r="AV59" s="360"/>
      <c r="AW59" s="360"/>
    </row>
    <row r="60" spans="1:49" ht="14.25" hidden="1">
      <c r="A60" s="366"/>
      <c r="B60" s="367"/>
      <c r="C60" s="20" t="str">
        <f t="shared" si="9"/>
        <v/>
      </c>
      <c r="D60" s="546"/>
      <c r="E60" s="547"/>
      <c r="F60" s="20" t="str">
        <f t="shared" si="7"/>
        <v/>
      </c>
      <c r="G60" s="525"/>
      <c r="H60" s="526"/>
      <c r="I60" s="530"/>
      <c r="J60" s="531"/>
      <c r="K60" s="368" t="str">
        <f t="shared" si="2"/>
        <v/>
      </c>
      <c r="L60" s="553" t="str">
        <f t="shared" si="10"/>
        <v/>
      </c>
      <c r="M60" s="554"/>
      <c r="Y60" s="492" t="str">
        <f t="shared" si="13"/>
        <v/>
      </c>
      <c r="AB60" s="350" t="str">
        <f t="shared" si="4"/>
        <v/>
      </c>
      <c r="AC60" s="362">
        <f t="shared" si="14"/>
        <v>0</v>
      </c>
      <c r="AL60" s="360" t="str">
        <f t="shared" si="5"/>
        <v/>
      </c>
      <c r="AM60" s="364" t="str">
        <f t="shared" si="6"/>
        <v/>
      </c>
      <c r="AN60" s="360">
        <f t="shared" si="0"/>
        <v>0</v>
      </c>
      <c r="AO60" s="365">
        <f t="shared" si="1"/>
        <v>0</v>
      </c>
      <c r="AP60" s="360"/>
      <c r="AQ60" s="362" t="str" cm="1">
        <f t="array" ref="AQ60">IF(AM58=TRUE,"",TRANSPOSE(_xlfn.IFS(D60="","",AND(OR(D60=End,D60=Loop)),Partenza,D60=up,Angolosu,D60=down,Angolodw,D60=sx,Angolosx,D60=Dx,Angolodx,D60=Angle,Direzioni)))</f>
        <v/>
      </c>
      <c r="AR60" s="360"/>
      <c r="AS60" s="360"/>
      <c r="AT60" s="360"/>
      <c r="AU60" s="360"/>
      <c r="AV60" s="360"/>
      <c r="AW60" s="360"/>
    </row>
    <row r="61" spans="1:49" ht="14.25" hidden="1">
      <c r="A61" s="366"/>
      <c r="B61" s="367"/>
      <c r="C61" s="20" t="str">
        <f t="shared" si="9"/>
        <v/>
      </c>
      <c r="D61" s="546"/>
      <c r="E61" s="547"/>
      <c r="F61" s="20" t="str">
        <f t="shared" si="7"/>
        <v/>
      </c>
      <c r="G61" s="525"/>
      <c r="H61" s="526"/>
      <c r="I61" s="530"/>
      <c r="J61" s="531"/>
      <c r="K61" s="368" t="str">
        <f t="shared" si="2"/>
        <v/>
      </c>
      <c r="L61" s="553" t="str">
        <f t="shared" si="10"/>
        <v/>
      </c>
      <c r="M61" s="554"/>
      <c r="Y61" s="492" t="str">
        <f t="shared" si="13"/>
        <v/>
      </c>
      <c r="AB61" s="350" t="str">
        <f t="shared" si="4"/>
        <v/>
      </c>
      <c r="AC61" s="362">
        <f t="shared" si="14"/>
        <v>0</v>
      </c>
      <c r="AL61" s="360" t="str">
        <f t="shared" si="5"/>
        <v/>
      </c>
      <c r="AM61" s="364" t="str">
        <f t="shared" si="6"/>
        <v/>
      </c>
      <c r="AN61" s="360">
        <f t="shared" si="0"/>
        <v>0</v>
      </c>
      <c r="AO61" s="365">
        <f t="shared" si="1"/>
        <v>0</v>
      </c>
      <c r="AP61" s="360"/>
      <c r="AQ61" s="362" t="str" cm="1">
        <f t="array" ref="AQ61">IF(AM59=TRUE,"",TRANSPOSE(_xlfn.IFS(D61="","",AND(OR(D61=End,D61=Loop)),Partenza,D61=up,Angolosu,D61=down,Angolodw,D61=sx,Angolosx,D61=Dx,Angolodx,D61=Angle,Direzioni)))</f>
        <v/>
      </c>
      <c r="AR61" s="360"/>
      <c r="AS61" s="360"/>
      <c r="AT61" s="360"/>
      <c r="AU61" s="360"/>
      <c r="AV61" s="360"/>
      <c r="AW61" s="360"/>
    </row>
    <row r="62" spans="1:49" ht="14.25" hidden="1">
      <c r="A62" s="366"/>
      <c r="B62" s="367"/>
      <c r="C62" s="20" t="str">
        <f t="shared" si="9"/>
        <v/>
      </c>
      <c r="D62" s="546"/>
      <c r="E62" s="547"/>
      <c r="F62" s="20" t="str">
        <f t="shared" si="7"/>
        <v/>
      </c>
      <c r="G62" s="525"/>
      <c r="H62" s="526"/>
      <c r="I62" s="530"/>
      <c r="J62" s="531"/>
      <c r="K62" s="368" t="str">
        <f t="shared" si="2"/>
        <v/>
      </c>
      <c r="L62" s="553" t="str">
        <f t="shared" si="10"/>
        <v/>
      </c>
      <c r="M62" s="554"/>
      <c r="Y62" s="492" t="str">
        <f t="shared" si="13"/>
        <v/>
      </c>
      <c r="AB62" s="350" t="str">
        <f t="shared" si="4"/>
        <v/>
      </c>
      <c r="AC62" s="362">
        <f t="shared" si="14"/>
        <v>0</v>
      </c>
      <c r="AL62" s="360" t="str">
        <f t="shared" si="5"/>
        <v/>
      </c>
      <c r="AM62" s="364" t="str">
        <f t="shared" si="6"/>
        <v/>
      </c>
      <c r="AN62" s="360">
        <f t="shared" si="0"/>
        <v>0</v>
      </c>
      <c r="AO62" s="365">
        <f t="shared" si="1"/>
        <v>0</v>
      </c>
      <c r="AP62" s="360"/>
      <c r="AQ62" s="362" t="str" cm="1">
        <f t="array" ref="AQ62">IF(AM60=TRUE,"",TRANSPOSE(_xlfn.IFS(D62="","",AND(OR(D62=End,D62=Loop)),Partenza,D62=up,Angolosu,D62=down,Angolodw,D62=sx,Angolosx,D62=Dx,Angolodx,D62=Angle,Direzioni)))</f>
        <v/>
      </c>
      <c r="AR62" s="360"/>
      <c r="AS62" s="360"/>
      <c r="AT62" s="360"/>
      <c r="AU62" s="360"/>
      <c r="AV62" s="360"/>
      <c r="AW62" s="360"/>
    </row>
    <row r="63" spans="1:49" ht="14.25" hidden="1">
      <c r="A63" s="366"/>
      <c r="B63" s="367"/>
      <c r="C63" s="20" t="str">
        <f t="shared" si="9"/>
        <v/>
      </c>
      <c r="D63" s="546"/>
      <c r="E63" s="547"/>
      <c r="F63" s="20" t="str">
        <f t="shared" si="7"/>
        <v/>
      </c>
      <c r="G63" s="525"/>
      <c r="H63" s="526"/>
      <c r="I63" s="530"/>
      <c r="J63" s="531"/>
      <c r="K63" s="368" t="str">
        <f t="shared" si="2"/>
        <v/>
      </c>
      <c r="L63" s="553" t="str">
        <f t="shared" si="10"/>
        <v/>
      </c>
      <c r="M63" s="554"/>
      <c r="Y63" s="492" t="str">
        <f t="shared" si="13"/>
        <v/>
      </c>
      <c r="AB63" s="350" t="str">
        <f t="shared" si="4"/>
        <v/>
      </c>
      <c r="AC63" s="362">
        <f t="shared" si="14"/>
        <v>0</v>
      </c>
      <c r="AL63" s="360" t="str">
        <f t="shared" si="5"/>
        <v/>
      </c>
      <c r="AM63" s="364" t="str">
        <f t="shared" si="6"/>
        <v/>
      </c>
      <c r="AN63" s="360">
        <f t="shared" si="0"/>
        <v>0</v>
      </c>
      <c r="AO63" s="365">
        <f t="shared" si="1"/>
        <v>0</v>
      </c>
      <c r="AP63" s="360"/>
      <c r="AQ63" s="362" t="str" cm="1">
        <f t="array" ref="AQ63">IF(AM61=TRUE,"",TRANSPOSE(_xlfn.IFS(D63="","",AND(OR(D63=End,D63=Loop)),Partenza,D63=up,Angolosu,D63=down,Angolodw,D63=sx,Angolosx,D63=Dx,Angolodx,D63=Angle,Direzioni)))</f>
        <v/>
      </c>
      <c r="AR63" s="360"/>
      <c r="AS63" s="360"/>
      <c r="AT63" s="360"/>
      <c r="AU63" s="360"/>
      <c r="AV63" s="360"/>
      <c r="AW63" s="360"/>
    </row>
    <row r="64" spans="1:49" ht="14.25" hidden="1">
      <c r="A64" s="366"/>
      <c r="B64" s="367"/>
      <c r="C64" s="20" t="str">
        <f t="shared" si="9"/>
        <v/>
      </c>
      <c r="D64" s="546"/>
      <c r="E64" s="547"/>
      <c r="F64" s="20" t="str">
        <f t="shared" si="7"/>
        <v/>
      </c>
      <c r="G64" s="525"/>
      <c r="H64" s="526"/>
      <c r="I64" s="530"/>
      <c r="J64" s="531"/>
      <c r="K64" s="368" t="str">
        <f t="shared" si="2"/>
        <v/>
      </c>
      <c r="L64" s="553" t="str">
        <f t="shared" si="10"/>
        <v/>
      </c>
      <c r="M64" s="554"/>
      <c r="Y64" s="492" t="str">
        <f t="shared" si="13"/>
        <v/>
      </c>
      <c r="AB64" s="350" t="str">
        <f t="shared" si="4"/>
        <v/>
      </c>
      <c r="AC64" s="362">
        <f t="shared" si="14"/>
        <v>0</v>
      </c>
      <c r="AL64" s="360" t="str">
        <f t="shared" si="5"/>
        <v/>
      </c>
      <c r="AM64" s="364" t="str">
        <f t="shared" si="6"/>
        <v/>
      </c>
      <c r="AN64" s="360">
        <f t="shared" si="0"/>
        <v>0</v>
      </c>
      <c r="AO64" s="365">
        <f t="shared" si="1"/>
        <v>0</v>
      </c>
      <c r="AP64" s="360"/>
      <c r="AQ64" s="362" t="str" cm="1">
        <f t="array" ref="AQ64">IF(AM62=TRUE,"",TRANSPOSE(_xlfn.IFS(D64="","",AND(OR(D64=End,D64=Loop)),Partenza,D64=up,Angolosu,D64=down,Angolodw,D64=sx,Angolosx,D64=Dx,Angolodx,D64=Angle,Direzioni)))</f>
        <v/>
      </c>
      <c r="AR64" s="360"/>
      <c r="AS64" s="360"/>
      <c r="AT64" s="360"/>
      <c r="AU64" s="360"/>
      <c r="AV64" s="360"/>
      <c r="AW64" s="360"/>
    </row>
    <row r="65" spans="1:49" ht="14.25" hidden="1">
      <c r="A65" s="366"/>
      <c r="B65" s="367"/>
      <c r="C65" s="20" t="str">
        <f t="shared" si="9"/>
        <v/>
      </c>
      <c r="D65" s="546"/>
      <c r="E65" s="547"/>
      <c r="F65" s="20" t="str">
        <f t="shared" si="7"/>
        <v/>
      </c>
      <c r="G65" s="525"/>
      <c r="H65" s="526"/>
      <c r="I65" s="530"/>
      <c r="J65" s="531"/>
      <c r="K65" s="368" t="str">
        <f t="shared" si="2"/>
        <v/>
      </c>
      <c r="L65" s="553" t="str">
        <f t="shared" si="10"/>
        <v/>
      </c>
      <c r="M65" s="554"/>
      <c r="W65" s="355"/>
      <c r="X65" s="355"/>
      <c r="Y65" s="492" t="str">
        <f t="shared" si="13"/>
        <v/>
      </c>
      <c r="AB65" s="350" t="str">
        <f t="shared" si="4"/>
        <v/>
      </c>
      <c r="AC65" s="362">
        <f t="shared" si="14"/>
        <v>0</v>
      </c>
      <c r="AL65" s="360" t="str">
        <f t="shared" si="5"/>
        <v/>
      </c>
      <c r="AM65" s="364" t="str">
        <f t="shared" si="6"/>
        <v/>
      </c>
      <c r="AN65" s="379">
        <f t="shared" ref="AN65:AN96" si="15">+F223</f>
        <v>0</v>
      </c>
      <c r="AO65" s="365">
        <f t="shared" si="1"/>
        <v>0</v>
      </c>
      <c r="AP65" s="360"/>
      <c r="AQ65" s="362" t="str" cm="1">
        <f t="array" ref="AQ65">IF(AM63=TRUE,"",TRANSPOSE(_xlfn.IFS(D65="","",AND(OR(D65=End,D65=Loop)),Partenza,D65=up,Angolosu,D65=down,Angolodw,D65=sx,Angolosx,D65=Dx,Angolodx,D65=Angle,Direzioni)))</f>
        <v/>
      </c>
      <c r="AR65" s="360"/>
      <c r="AS65" s="360"/>
      <c r="AT65" s="360"/>
      <c r="AU65" s="360"/>
      <c r="AV65" s="360"/>
      <c r="AW65" s="360"/>
    </row>
    <row r="66" spans="1:49" ht="14.25" hidden="1">
      <c r="A66" s="366"/>
      <c r="B66" s="367"/>
      <c r="C66" s="20" t="str">
        <f t="shared" si="9"/>
        <v/>
      </c>
      <c r="D66" s="546"/>
      <c r="E66" s="547"/>
      <c r="F66" s="20" t="str">
        <f t="shared" si="7"/>
        <v/>
      </c>
      <c r="G66" s="525"/>
      <c r="H66" s="526"/>
      <c r="I66" s="530"/>
      <c r="J66" s="531"/>
      <c r="K66" s="368" t="str">
        <f t="shared" si="2"/>
        <v/>
      </c>
      <c r="L66" s="553" t="str">
        <f t="shared" si="10"/>
        <v/>
      </c>
      <c r="M66" s="554"/>
      <c r="W66" s="355"/>
      <c r="X66" s="355"/>
      <c r="Y66" s="492" t="str">
        <f t="shared" si="13"/>
        <v/>
      </c>
      <c r="AB66" s="350" t="str">
        <f t="shared" si="4"/>
        <v/>
      </c>
      <c r="AC66" s="362">
        <f t="shared" si="14"/>
        <v>0</v>
      </c>
      <c r="AL66" s="360" t="str">
        <f t="shared" si="5"/>
        <v/>
      </c>
      <c r="AM66" s="364" t="str">
        <f t="shared" si="6"/>
        <v/>
      </c>
      <c r="AN66" s="379">
        <f t="shared" si="15"/>
        <v>0</v>
      </c>
      <c r="AO66" s="365">
        <f t="shared" ref="AO66:AO95" si="16">+T223</f>
        <v>0</v>
      </c>
      <c r="AP66" s="360"/>
      <c r="AQ66" s="362" t="str" cm="1">
        <f t="array" ref="AQ66">IF(AM64=TRUE,"",TRANSPOSE(_xlfn.IFS(D66="","",AND(OR(D66=End,D66=Loop)),Partenza,D66=up,Angolosu,D66=down,Angolodw,D66=sx,Angolosx,D66=Dx,Angolodx,D66=Angle,Direzioni)))</f>
        <v/>
      </c>
      <c r="AR66" s="360"/>
      <c r="AS66" s="360"/>
      <c r="AT66" s="360"/>
      <c r="AU66" s="360"/>
      <c r="AV66" s="360"/>
      <c r="AW66" s="360"/>
    </row>
    <row r="67" spans="1:49" ht="14.25" hidden="1">
      <c r="A67" s="366"/>
      <c r="B67" s="367"/>
      <c r="C67" s="20" t="str">
        <f t="shared" si="9"/>
        <v/>
      </c>
      <c r="D67" s="546"/>
      <c r="E67" s="547"/>
      <c r="F67" s="20" t="str">
        <f t="shared" si="7"/>
        <v/>
      </c>
      <c r="G67" s="525"/>
      <c r="H67" s="526"/>
      <c r="I67" s="530"/>
      <c r="J67" s="531"/>
      <c r="K67" s="368" t="str">
        <f t="shared" ref="K67:K97" si="17">IF(G223=0,"",G223)</f>
        <v/>
      </c>
      <c r="L67" s="553" t="str">
        <f t="shared" si="10"/>
        <v/>
      </c>
      <c r="M67" s="554"/>
      <c r="W67" s="355"/>
      <c r="X67" s="355"/>
      <c r="Y67" s="492" t="str">
        <f t="shared" si="13"/>
        <v/>
      </c>
      <c r="AB67" s="350" t="str">
        <f t="shared" ref="AB67:AB97" si="18">IF(F67="","",+_xlfn.CONCAT(C67,"-",F67))</f>
        <v/>
      </c>
      <c r="AC67" s="362">
        <f t="shared" si="14"/>
        <v>0</v>
      </c>
      <c r="AL67" s="360" t="str">
        <f t="shared" ref="AL67:AL97" si="19">+IF(D225=Loop,ABS(M224-$AN$33-180),"")</f>
        <v/>
      </c>
      <c r="AM67" s="364" t="str">
        <f t="shared" si="6"/>
        <v/>
      </c>
      <c r="AN67" s="379">
        <f t="shared" si="15"/>
        <v>0</v>
      </c>
      <c r="AO67" s="365">
        <f t="shared" si="16"/>
        <v>0</v>
      </c>
      <c r="AP67" s="360"/>
      <c r="AQ67" s="362" t="str" cm="1">
        <f t="array" ref="AQ67">IF(AM65=TRUE,"",TRANSPOSE(_xlfn.IFS(D67="","",AND(OR(D67=End,D67=Loop)),Partenza,D67=up,Angolosu,D67=down,Angolodw,D67=sx,Angolosx,D67=Dx,Angolodx,D67=Angle,Direzioni)))</f>
        <v/>
      </c>
      <c r="AR67" s="360"/>
      <c r="AS67" s="360"/>
      <c r="AT67" s="360"/>
      <c r="AU67" s="360"/>
      <c r="AV67" s="360"/>
      <c r="AW67" s="360"/>
    </row>
    <row r="68" spans="1:49" ht="14.25" hidden="1">
      <c r="A68" s="366"/>
      <c r="B68" s="367"/>
      <c r="C68" s="20" t="str">
        <f t="shared" si="9"/>
        <v/>
      </c>
      <c r="D68" s="546"/>
      <c r="E68" s="547"/>
      <c r="F68" s="20" t="str">
        <f t="shared" ref="F68:F97" si="20">IF(OR(D68=start,D68=ShareStart),"",IF(D68=End,"",IF(D68=Loop,$C$35,IF(D68&lt;&gt;"",C68+1,""))))</f>
        <v/>
      </c>
      <c r="G68" s="525"/>
      <c r="H68" s="526"/>
      <c r="I68" s="530"/>
      <c r="J68" s="531"/>
      <c r="K68" s="368" t="str">
        <f t="shared" si="17"/>
        <v/>
      </c>
      <c r="L68" s="553" t="str">
        <f t="shared" si="10"/>
        <v/>
      </c>
      <c r="M68" s="554"/>
      <c r="W68" s="355"/>
      <c r="X68" s="355"/>
      <c r="Y68" s="492" t="str">
        <f t="shared" si="13"/>
        <v/>
      </c>
      <c r="AB68" s="350" t="str">
        <f t="shared" si="18"/>
        <v/>
      </c>
      <c r="AC68" s="362">
        <f t="shared" si="14"/>
        <v>0</v>
      </c>
      <c r="AL68" s="360" t="str">
        <f t="shared" si="19"/>
        <v/>
      </c>
      <c r="AM68" s="364" t="str">
        <f t="shared" si="6"/>
        <v/>
      </c>
      <c r="AN68" s="379">
        <f t="shared" si="15"/>
        <v>0</v>
      </c>
      <c r="AO68" s="365">
        <f t="shared" si="16"/>
        <v>0</v>
      </c>
      <c r="AP68" s="360"/>
      <c r="AQ68" s="362" t="str" cm="1">
        <f t="array" ref="AQ68">IF(AM66=TRUE,"",TRANSPOSE(_xlfn.IFS(D68="","",AND(OR(D68=End,D68=Loop)),Partenza,D68=up,Angolosu,D68=down,Angolodw,D68=sx,Angolosx,D68=Dx,Angolodx,D68=Angle,Direzioni)))</f>
        <v/>
      </c>
      <c r="AR68" s="360"/>
      <c r="AS68" s="360"/>
      <c r="AT68" s="360"/>
      <c r="AU68" s="360"/>
      <c r="AV68" s="360"/>
      <c r="AW68" s="360"/>
    </row>
    <row r="69" spans="1:49" ht="14.25" hidden="1">
      <c r="A69" s="366"/>
      <c r="B69" s="367"/>
      <c r="C69" s="20" t="str">
        <f t="shared" ref="C69:C97" si="21">IF(D68=start,MAX(F67,C67)+1,IF(D68=ShareStart,B224,IF(OR(C68&lt;&gt;"",C68&lt;&gt;End),IF(I68="","",+F68),"")))</f>
        <v/>
      </c>
      <c r="D69" s="546"/>
      <c r="E69" s="547"/>
      <c r="F69" s="20" t="str">
        <f t="shared" si="20"/>
        <v/>
      </c>
      <c r="G69" s="525"/>
      <c r="H69" s="526"/>
      <c r="I69" s="530"/>
      <c r="J69" s="531"/>
      <c r="K69" s="368" t="str">
        <f t="shared" si="17"/>
        <v/>
      </c>
      <c r="L69" s="553" t="str">
        <f t="shared" si="10"/>
        <v/>
      </c>
      <c r="M69" s="554"/>
      <c r="W69" s="355"/>
      <c r="X69" s="355"/>
      <c r="Y69" s="492" t="str">
        <f t="shared" si="13"/>
        <v/>
      </c>
      <c r="AB69" s="350" t="str">
        <f t="shared" si="18"/>
        <v/>
      </c>
      <c r="AC69" s="362">
        <f t="shared" si="14"/>
        <v>0</v>
      </c>
      <c r="AL69" s="360" t="str">
        <f t="shared" si="19"/>
        <v/>
      </c>
      <c r="AM69" s="364" t="str">
        <f t="shared" si="6"/>
        <v/>
      </c>
      <c r="AN69" s="379">
        <f t="shared" si="15"/>
        <v>0</v>
      </c>
      <c r="AO69" s="365">
        <f t="shared" si="16"/>
        <v>0</v>
      </c>
      <c r="AP69" s="360"/>
      <c r="AQ69" s="362" t="str" cm="1">
        <f t="array" ref="AQ69">IF(AM67=TRUE,"",TRANSPOSE(_xlfn.IFS(D69="","",AND(OR(D69=End,D69=Loop)),Partenza,D69=up,Angolosu,D69=down,Angolodw,D69=sx,Angolosx,D69=Dx,Angolodx,D69=Angle,Direzioni)))</f>
        <v/>
      </c>
      <c r="AR69" s="360"/>
      <c r="AS69" s="360"/>
      <c r="AT69" s="360"/>
      <c r="AU69" s="360"/>
      <c r="AV69" s="360"/>
      <c r="AW69" s="360"/>
    </row>
    <row r="70" spans="1:49" ht="14.25" hidden="1">
      <c r="A70" s="366"/>
      <c r="B70" s="367"/>
      <c r="C70" s="20" t="str">
        <f t="shared" si="21"/>
        <v/>
      </c>
      <c r="D70" s="546"/>
      <c r="E70" s="547"/>
      <c r="F70" s="20" t="str">
        <f t="shared" si="20"/>
        <v/>
      </c>
      <c r="G70" s="525"/>
      <c r="H70" s="526"/>
      <c r="I70" s="530"/>
      <c r="J70" s="531"/>
      <c r="K70" s="368" t="str">
        <f t="shared" si="17"/>
        <v/>
      </c>
      <c r="L70" s="553" t="str">
        <f t="shared" si="10"/>
        <v/>
      </c>
      <c r="M70" s="554"/>
      <c r="W70" s="355"/>
      <c r="X70" s="355"/>
      <c r="Y70" s="492" t="str">
        <f t="shared" si="13"/>
        <v/>
      </c>
      <c r="AB70" s="350" t="str">
        <f t="shared" si="18"/>
        <v/>
      </c>
      <c r="AC70" s="362">
        <f t="shared" si="14"/>
        <v>0</v>
      </c>
      <c r="AL70" s="360" t="str">
        <f t="shared" si="19"/>
        <v/>
      </c>
      <c r="AM70" s="364" t="str">
        <f t="shared" si="6"/>
        <v/>
      </c>
      <c r="AN70" s="379">
        <f t="shared" si="15"/>
        <v>0</v>
      </c>
      <c r="AO70" s="365">
        <f t="shared" si="16"/>
        <v>0</v>
      </c>
      <c r="AP70" s="360"/>
      <c r="AQ70" s="362" t="str" cm="1">
        <f t="array" ref="AQ70">IF(AM68=TRUE,"",TRANSPOSE(_xlfn.IFS(D70="","",AND(OR(D70=End,D70=Loop)),Partenza,D70=up,Angolosu,D70=down,Angolodw,D70=sx,Angolosx,D70=Dx,Angolodx,D70=Angle,Direzioni)))</f>
        <v/>
      </c>
      <c r="AR70" s="360"/>
      <c r="AS70" s="360"/>
      <c r="AT70" s="360"/>
      <c r="AU70" s="360"/>
      <c r="AV70" s="360"/>
      <c r="AW70" s="360"/>
    </row>
    <row r="71" spans="1:49" ht="14.25" hidden="1">
      <c r="A71" s="366"/>
      <c r="B71" s="367"/>
      <c r="C71" s="20" t="str">
        <f t="shared" si="21"/>
        <v/>
      </c>
      <c r="D71" s="546"/>
      <c r="E71" s="547"/>
      <c r="F71" s="20" t="str">
        <f t="shared" si="20"/>
        <v/>
      </c>
      <c r="G71" s="525"/>
      <c r="H71" s="526"/>
      <c r="I71" s="530"/>
      <c r="J71" s="531"/>
      <c r="K71" s="368" t="str">
        <f t="shared" si="17"/>
        <v/>
      </c>
      <c r="L71" s="553" t="str">
        <f t="shared" si="10"/>
        <v/>
      </c>
      <c r="M71" s="554"/>
      <c r="W71" s="355"/>
      <c r="X71" s="355"/>
      <c r="Y71" s="492" t="str">
        <f t="shared" si="13"/>
        <v/>
      </c>
      <c r="AB71" s="350" t="str">
        <f t="shared" si="18"/>
        <v/>
      </c>
      <c r="AC71" s="362">
        <f t="shared" si="14"/>
        <v>0</v>
      </c>
      <c r="AL71" s="360" t="str">
        <f t="shared" si="19"/>
        <v/>
      </c>
      <c r="AM71" s="364" t="str">
        <f t="shared" si="6"/>
        <v/>
      </c>
      <c r="AN71" s="379">
        <f t="shared" si="15"/>
        <v>0</v>
      </c>
      <c r="AO71" s="365">
        <f t="shared" si="16"/>
        <v>0</v>
      </c>
      <c r="AP71" s="360"/>
      <c r="AQ71" s="362" t="str" cm="1">
        <f t="array" ref="AQ71">IF(AM69=TRUE,"",TRANSPOSE(_xlfn.IFS(D71="","",AND(OR(D71=End,D71=Loop)),Partenza,D71=up,Angolosu,D71=down,Angolodw,D71=sx,Angolosx,D71=Dx,Angolodx,D71=Angle,Direzioni)))</f>
        <v/>
      </c>
      <c r="AR71" s="360"/>
      <c r="AS71" s="360"/>
      <c r="AT71" s="360"/>
      <c r="AU71" s="360"/>
      <c r="AV71" s="360"/>
      <c r="AW71" s="360"/>
    </row>
    <row r="72" spans="1:49" ht="14.25" hidden="1">
      <c r="A72" s="366"/>
      <c r="B72" s="367"/>
      <c r="C72" s="20" t="str">
        <f t="shared" si="21"/>
        <v/>
      </c>
      <c r="D72" s="546"/>
      <c r="E72" s="547"/>
      <c r="F72" s="20" t="str">
        <f t="shared" si="20"/>
        <v/>
      </c>
      <c r="G72" s="525"/>
      <c r="H72" s="526"/>
      <c r="I72" s="530"/>
      <c r="J72" s="531"/>
      <c r="K72" s="368" t="str">
        <f t="shared" si="17"/>
        <v/>
      </c>
      <c r="L72" s="553" t="str">
        <f t="shared" si="10"/>
        <v/>
      </c>
      <c r="M72" s="554"/>
      <c r="W72" s="355"/>
      <c r="X72" s="355"/>
      <c r="Y72" s="492" t="str">
        <f t="shared" ref="Y72:Y97" si="22">IF(AM71="","",AM71&gt;=90)</f>
        <v/>
      </c>
      <c r="AB72" s="350" t="str">
        <f t="shared" si="18"/>
        <v/>
      </c>
      <c r="AC72" s="362">
        <f t="shared" si="14"/>
        <v>0</v>
      </c>
      <c r="AL72" s="360" t="str">
        <f t="shared" si="19"/>
        <v/>
      </c>
      <c r="AM72" s="364" t="str">
        <f t="shared" si="6"/>
        <v/>
      </c>
      <c r="AN72" s="379">
        <f t="shared" si="15"/>
        <v>0</v>
      </c>
      <c r="AO72" s="365">
        <f t="shared" si="16"/>
        <v>0</v>
      </c>
      <c r="AP72" s="360"/>
      <c r="AQ72" s="362" t="str" cm="1">
        <f t="array" ref="AQ72">IF(AM70=TRUE,"",TRANSPOSE(_xlfn.IFS(D72="","",AND(OR(D72=End,D72=Loop)),Partenza,D72=up,Angolosu,D72=down,Angolodw,D72=sx,Angolosx,D72=Dx,Angolodx,D72=Angle,Direzioni)))</f>
        <v/>
      </c>
      <c r="AR72" s="360"/>
      <c r="AS72" s="360"/>
      <c r="AT72" s="360"/>
      <c r="AU72" s="360"/>
      <c r="AV72" s="360"/>
      <c r="AW72" s="360"/>
    </row>
    <row r="73" spans="1:49" ht="14.25" hidden="1">
      <c r="A73" s="366"/>
      <c r="B73" s="367"/>
      <c r="C73" s="20" t="str">
        <f t="shared" si="21"/>
        <v/>
      </c>
      <c r="D73" s="546"/>
      <c r="E73" s="547"/>
      <c r="F73" s="20" t="str">
        <f t="shared" si="20"/>
        <v/>
      </c>
      <c r="G73" s="525"/>
      <c r="H73" s="526"/>
      <c r="I73" s="530"/>
      <c r="J73" s="531"/>
      <c r="K73" s="368" t="str">
        <f t="shared" si="17"/>
        <v/>
      </c>
      <c r="L73" s="553" t="str">
        <f t="shared" si="10"/>
        <v/>
      </c>
      <c r="M73" s="554"/>
      <c r="W73" s="355"/>
      <c r="X73" s="355"/>
      <c r="Y73" s="492" t="str">
        <f t="shared" si="22"/>
        <v/>
      </c>
      <c r="AB73" s="350" t="str">
        <f t="shared" si="18"/>
        <v/>
      </c>
      <c r="AC73" s="362">
        <f t="shared" si="14"/>
        <v>0</v>
      </c>
      <c r="AL73" s="360" t="str">
        <f t="shared" si="19"/>
        <v/>
      </c>
      <c r="AM73" s="364" t="str">
        <f t="shared" si="6"/>
        <v/>
      </c>
      <c r="AN73" s="379">
        <f t="shared" si="15"/>
        <v>0</v>
      </c>
      <c r="AO73" s="365">
        <f t="shared" si="16"/>
        <v>0</v>
      </c>
      <c r="AP73" s="360"/>
      <c r="AQ73" s="362" t="str" cm="1">
        <f t="array" ref="AQ73">IF(AM71=TRUE,"",TRANSPOSE(_xlfn.IFS(D73="","",AND(OR(D73=End,D73=Loop)),Partenza,D73=up,Angolosu,D73=down,Angolodw,D73=sx,Angolosx,D73=Dx,Angolodx,D73=Angle,Direzioni)))</f>
        <v/>
      </c>
      <c r="AR73" s="360"/>
      <c r="AS73" s="360"/>
      <c r="AT73" s="360"/>
      <c r="AU73" s="360"/>
      <c r="AV73" s="360"/>
      <c r="AW73" s="360"/>
    </row>
    <row r="74" spans="1:49" ht="14.25" hidden="1">
      <c r="A74" s="366"/>
      <c r="B74" s="367"/>
      <c r="C74" s="20" t="str">
        <f t="shared" si="21"/>
        <v/>
      </c>
      <c r="D74" s="546"/>
      <c r="E74" s="547"/>
      <c r="F74" s="20" t="str">
        <f t="shared" si="20"/>
        <v/>
      </c>
      <c r="G74" s="525"/>
      <c r="H74" s="526"/>
      <c r="I74" s="530"/>
      <c r="J74" s="531"/>
      <c r="K74" s="368" t="str">
        <f t="shared" si="17"/>
        <v/>
      </c>
      <c r="L74" s="553" t="str">
        <f t="shared" si="10"/>
        <v/>
      </c>
      <c r="M74" s="554"/>
      <c r="W74" s="355"/>
      <c r="X74" s="355"/>
      <c r="Y74" s="492" t="str">
        <f t="shared" si="22"/>
        <v/>
      </c>
      <c r="AB74" s="350" t="str">
        <f t="shared" si="18"/>
        <v/>
      </c>
      <c r="AC74" s="362">
        <f t="shared" si="14"/>
        <v>0</v>
      </c>
      <c r="AL74" s="360" t="str">
        <f t="shared" si="19"/>
        <v/>
      </c>
      <c r="AM74" s="364" t="str">
        <f t="shared" si="6"/>
        <v/>
      </c>
      <c r="AN74" s="379">
        <f t="shared" si="15"/>
        <v>0</v>
      </c>
      <c r="AO74" s="365">
        <f t="shared" si="16"/>
        <v>0</v>
      </c>
      <c r="AP74" s="360"/>
      <c r="AQ74" s="362" t="str" cm="1">
        <f t="array" ref="AQ74">IF(AM72=TRUE,"",TRANSPOSE(_xlfn.IFS(D74="","",AND(OR(D74=End,D74=Loop)),Partenza,D74=up,Angolosu,D74=down,Angolodw,D74=sx,Angolosx,D74=Dx,Angolodx,D74=Angle,Direzioni)))</f>
        <v/>
      </c>
      <c r="AR74" s="360"/>
      <c r="AS74" s="360"/>
      <c r="AT74" s="360"/>
      <c r="AU74" s="360"/>
      <c r="AV74" s="360"/>
      <c r="AW74" s="360"/>
    </row>
    <row r="75" spans="1:49" ht="14.25" hidden="1">
      <c r="A75" s="366"/>
      <c r="B75" s="367"/>
      <c r="C75" s="20" t="str">
        <f t="shared" si="21"/>
        <v/>
      </c>
      <c r="D75" s="546"/>
      <c r="E75" s="547"/>
      <c r="F75" s="20" t="str">
        <f t="shared" si="20"/>
        <v/>
      </c>
      <c r="G75" s="525"/>
      <c r="H75" s="526"/>
      <c r="I75" s="530"/>
      <c r="J75" s="531"/>
      <c r="K75" s="368" t="str">
        <f t="shared" si="17"/>
        <v/>
      </c>
      <c r="L75" s="553" t="str">
        <f t="shared" si="10"/>
        <v/>
      </c>
      <c r="M75" s="554"/>
      <c r="W75" s="355"/>
      <c r="X75" s="355"/>
      <c r="Y75" s="492" t="str">
        <f t="shared" si="22"/>
        <v/>
      </c>
      <c r="AB75" s="350" t="str">
        <f t="shared" si="18"/>
        <v/>
      </c>
      <c r="AC75" s="362">
        <f t="shared" si="14"/>
        <v>0</v>
      </c>
      <c r="AL75" s="360" t="str">
        <f t="shared" si="19"/>
        <v/>
      </c>
      <c r="AM75" s="364" t="str">
        <f t="shared" si="6"/>
        <v/>
      </c>
      <c r="AN75" s="379">
        <f t="shared" si="15"/>
        <v>0</v>
      </c>
      <c r="AO75" s="365">
        <f t="shared" si="16"/>
        <v>0</v>
      </c>
      <c r="AP75" s="360"/>
      <c r="AQ75" s="362" t="str" cm="1">
        <f t="array" ref="AQ75">IF(AM73=TRUE,"",TRANSPOSE(_xlfn.IFS(D75="","",AND(OR(D75=End,D75=Loop)),Partenza,D75=up,Angolosu,D75=down,Angolodw,D75=sx,Angolosx,D75=Dx,Angolodx,D75=Angle,Direzioni)))</f>
        <v/>
      </c>
      <c r="AR75" s="360"/>
      <c r="AS75" s="360"/>
      <c r="AT75" s="360"/>
      <c r="AU75" s="360"/>
      <c r="AV75" s="360"/>
      <c r="AW75" s="360"/>
    </row>
    <row r="76" spans="1:49" ht="14.25" hidden="1">
      <c r="A76" s="366"/>
      <c r="B76" s="367"/>
      <c r="C76" s="20" t="str">
        <f t="shared" si="21"/>
        <v/>
      </c>
      <c r="D76" s="546"/>
      <c r="E76" s="547"/>
      <c r="F76" s="20" t="str">
        <f t="shared" si="20"/>
        <v/>
      </c>
      <c r="G76" s="525"/>
      <c r="H76" s="526"/>
      <c r="I76" s="530"/>
      <c r="J76" s="531"/>
      <c r="K76" s="368" t="str">
        <f t="shared" si="17"/>
        <v/>
      </c>
      <c r="L76" s="553" t="str">
        <f t="shared" si="10"/>
        <v/>
      </c>
      <c r="M76" s="554"/>
      <c r="W76" s="355"/>
      <c r="X76" s="355"/>
      <c r="Y76" s="492" t="str">
        <f t="shared" si="22"/>
        <v/>
      </c>
      <c r="AB76" s="350" t="str">
        <f t="shared" si="18"/>
        <v/>
      </c>
      <c r="AC76" s="362">
        <f t="shared" si="14"/>
        <v>0</v>
      </c>
      <c r="AL76" s="360" t="str">
        <f t="shared" si="19"/>
        <v/>
      </c>
      <c r="AM76" s="364" t="str">
        <f t="shared" si="6"/>
        <v/>
      </c>
      <c r="AN76" s="379">
        <f t="shared" si="15"/>
        <v>0</v>
      </c>
      <c r="AO76" s="365">
        <f t="shared" si="16"/>
        <v>0</v>
      </c>
      <c r="AP76" s="360"/>
      <c r="AQ76" s="362" t="str" cm="1">
        <f t="array" ref="AQ76">IF(AM74=TRUE,"",TRANSPOSE(_xlfn.IFS(D76="","",AND(OR(D76=End,D76=Loop)),Partenza,D76=up,Angolosu,D76=down,Angolodw,D76=sx,Angolosx,D76=Dx,Angolodx,D76=Angle,Direzioni)))</f>
        <v/>
      </c>
      <c r="AR76" s="360"/>
      <c r="AS76" s="360"/>
      <c r="AT76" s="360"/>
      <c r="AU76" s="360"/>
      <c r="AV76" s="360"/>
      <c r="AW76" s="360"/>
    </row>
    <row r="77" spans="1:49" ht="14.25" hidden="1">
      <c r="A77" s="366"/>
      <c r="B77" s="367"/>
      <c r="C77" s="20" t="str">
        <f t="shared" si="21"/>
        <v/>
      </c>
      <c r="D77" s="546"/>
      <c r="E77" s="547"/>
      <c r="F77" s="20" t="str">
        <f t="shared" si="20"/>
        <v/>
      </c>
      <c r="G77" s="525"/>
      <c r="H77" s="526"/>
      <c r="I77" s="530"/>
      <c r="J77" s="531"/>
      <c r="K77" s="368" t="str">
        <f t="shared" si="17"/>
        <v/>
      </c>
      <c r="L77" s="553" t="str">
        <f t="shared" si="10"/>
        <v/>
      </c>
      <c r="M77" s="554"/>
      <c r="W77" s="355"/>
      <c r="X77" s="355"/>
      <c r="Y77" s="492" t="str">
        <f t="shared" si="22"/>
        <v/>
      </c>
      <c r="AB77" s="350" t="str">
        <f t="shared" si="18"/>
        <v/>
      </c>
      <c r="AC77" s="362">
        <f t="shared" si="14"/>
        <v>0</v>
      </c>
      <c r="AL77" s="360" t="str">
        <f t="shared" si="19"/>
        <v/>
      </c>
      <c r="AM77" s="364" t="str">
        <f t="shared" si="6"/>
        <v/>
      </c>
      <c r="AN77" s="379">
        <f t="shared" si="15"/>
        <v>0</v>
      </c>
      <c r="AO77" s="365">
        <f t="shared" si="16"/>
        <v>0</v>
      </c>
      <c r="AP77" s="360"/>
      <c r="AQ77" s="362" t="str" cm="1">
        <f t="array" ref="AQ77">IF(AM75=TRUE,"",TRANSPOSE(_xlfn.IFS(D77="","",AND(OR(D77=End,D77=Loop)),Partenza,D77=up,Angolosu,D77=down,Angolodw,D77=sx,Angolosx,D77=Dx,Angolodx,D77=Angle,Direzioni)))</f>
        <v/>
      </c>
      <c r="AR77" s="360"/>
      <c r="AS77" s="360"/>
      <c r="AT77" s="360"/>
      <c r="AU77" s="360"/>
      <c r="AV77" s="360"/>
      <c r="AW77" s="360"/>
    </row>
    <row r="78" spans="1:49" ht="14.25" hidden="1">
      <c r="A78" s="366"/>
      <c r="B78" s="367"/>
      <c r="C78" s="20" t="str">
        <f t="shared" si="21"/>
        <v/>
      </c>
      <c r="D78" s="546"/>
      <c r="E78" s="547"/>
      <c r="F78" s="20" t="str">
        <f t="shared" si="20"/>
        <v/>
      </c>
      <c r="G78" s="525"/>
      <c r="H78" s="526"/>
      <c r="I78" s="530"/>
      <c r="J78" s="531"/>
      <c r="K78" s="368" t="str">
        <f t="shared" si="17"/>
        <v/>
      </c>
      <c r="L78" s="553" t="str">
        <f t="shared" si="10"/>
        <v/>
      </c>
      <c r="M78" s="554"/>
      <c r="W78" s="355"/>
      <c r="X78" s="355"/>
      <c r="Y78" s="492" t="str">
        <f t="shared" si="22"/>
        <v/>
      </c>
      <c r="AB78" s="350" t="str">
        <f t="shared" si="18"/>
        <v/>
      </c>
      <c r="AC78" s="362">
        <f t="shared" si="14"/>
        <v>0</v>
      </c>
      <c r="AL78" s="360" t="str">
        <f t="shared" si="19"/>
        <v/>
      </c>
      <c r="AM78" s="364" t="str">
        <f t="shared" si="6"/>
        <v/>
      </c>
      <c r="AN78" s="379">
        <f t="shared" si="15"/>
        <v>0</v>
      </c>
      <c r="AO78" s="365">
        <f t="shared" si="16"/>
        <v>0</v>
      </c>
      <c r="AP78" s="360"/>
      <c r="AQ78" s="362" t="str" cm="1">
        <f t="array" ref="AQ78">IF(AM76=TRUE,"",TRANSPOSE(_xlfn.IFS(D78="","",AND(OR(D78=End,D78=Loop)),Partenza,D78=up,Angolosu,D78=down,Angolodw,D78=sx,Angolosx,D78=Dx,Angolodx,D78=Angle,Direzioni)))</f>
        <v/>
      </c>
      <c r="AR78" s="360"/>
      <c r="AS78" s="360"/>
      <c r="AT78" s="360"/>
      <c r="AU78" s="360"/>
      <c r="AV78" s="360"/>
      <c r="AW78" s="360"/>
    </row>
    <row r="79" spans="1:49" ht="14.25" hidden="1">
      <c r="A79" s="366"/>
      <c r="B79" s="367"/>
      <c r="C79" s="20" t="str">
        <f t="shared" si="21"/>
        <v/>
      </c>
      <c r="D79" s="546"/>
      <c r="E79" s="547"/>
      <c r="F79" s="20" t="str">
        <f t="shared" si="20"/>
        <v/>
      </c>
      <c r="G79" s="525"/>
      <c r="H79" s="526"/>
      <c r="I79" s="530"/>
      <c r="J79" s="531"/>
      <c r="K79" s="368" t="str">
        <f t="shared" si="17"/>
        <v/>
      </c>
      <c r="L79" s="553" t="str">
        <f t="shared" si="10"/>
        <v/>
      </c>
      <c r="M79" s="554"/>
      <c r="W79" s="355"/>
      <c r="X79" s="355"/>
      <c r="Y79" s="492" t="str">
        <f t="shared" si="22"/>
        <v/>
      </c>
      <c r="AB79" s="350" t="str">
        <f t="shared" si="18"/>
        <v/>
      </c>
      <c r="AC79" s="362">
        <f t="shared" si="14"/>
        <v>0</v>
      </c>
      <c r="AL79" s="360" t="str">
        <f t="shared" si="19"/>
        <v/>
      </c>
      <c r="AM79" s="364" t="str">
        <f t="shared" si="6"/>
        <v/>
      </c>
      <c r="AN79" s="379">
        <f t="shared" si="15"/>
        <v>0</v>
      </c>
      <c r="AO79" s="365">
        <f t="shared" si="16"/>
        <v>0</v>
      </c>
      <c r="AP79" s="360"/>
      <c r="AQ79" s="362" t="str" cm="1">
        <f t="array" ref="AQ79">IF(AM77=TRUE,"",TRANSPOSE(_xlfn.IFS(D79="","",AND(OR(D79=End,D79=Loop)),Partenza,D79=up,Angolosu,D79=down,Angolodw,D79=sx,Angolosx,D79=Dx,Angolodx,D79=Angle,Direzioni)))</f>
        <v/>
      </c>
      <c r="AR79" s="360"/>
      <c r="AS79" s="360"/>
      <c r="AT79" s="360"/>
      <c r="AU79" s="360"/>
      <c r="AV79" s="360"/>
      <c r="AW79" s="360"/>
    </row>
    <row r="80" spans="1:49" ht="14.25" hidden="1">
      <c r="A80" s="366"/>
      <c r="B80" s="367"/>
      <c r="C80" s="20" t="str">
        <f t="shared" si="21"/>
        <v/>
      </c>
      <c r="D80" s="546"/>
      <c r="E80" s="547"/>
      <c r="F80" s="20" t="str">
        <f t="shared" si="20"/>
        <v/>
      </c>
      <c r="G80" s="525"/>
      <c r="H80" s="526"/>
      <c r="I80" s="530"/>
      <c r="J80" s="531"/>
      <c r="K80" s="368" t="str">
        <f t="shared" si="17"/>
        <v/>
      </c>
      <c r="L80" s="553" t="str">
        <f t="shared" si="10"/>
        <v/>
      </c>
      <c r="M80" s="554"/>
      <c r="W80" s="355"/>
      <c r="X80" s="355"/>
      <c r="Y80" s="492" t="str">
        <f t="shared" si="22"/>
        <v/>
      </c>
      <c r="AB80" s="350" t="str">
        <f t="shared" si="18"/>
        <v/>
      </c>
      <c r="AC80" s="362">
        <f t="shared" si="14"/>
        <v>0</v>
      </c>
      <c r="AL80" s="360" t="str">
        <f t="shared" si="19"/>
        <v/>
      </c>
      <c r="AM80" s="364" t="str">
        <f t="shared" si="6"/>
        <v/>
      </c>
      <c r="AN80" s="379">
        <f t="shared" si="15"/>
        <v>0</v>
      </c>
      <c r="AO80" s="365">
        <f t="shared" si="16"/>
        <v>0</v>
      </c>
      <c r="AP80" s="360"/>
      <c r="AQ80" s="362" t="str" cm="1">
        <f t="array" ref="AQ80">IF(AM78=TRUE,"",TRANSPOSE(_xlfn.IFS(D80="","",AND(OR(D80=End,D80=Loop)),Partenza,D80=up,Angolosu,D80=down,Angolodw,D80=sx,Angolosx,D80=Dx,Angolodx,D80=Angle,Direzioni)))</f>
        <v/>
      </c>
      <c r="AR80" s="360"/>
      <c r="AS80" s="360"/>
      <c r="AT80" s="360"/>
      <c r="AU80" s="360"/>
      <c r="AV80" s="360"/>
      <c r="AW80" s="360"/>
    </row>
    <row r="81" spans="1:49" ht="14.25" hidden="1">
      <c r="A81" s="366"/>
      <c r="B81" s="367"/>
      <c r="C81" s="20" t="str">
        <f t="shared" si="21"/>
        <v/>
      </c>
      <c r="D81" s="546"/>
      <c r="E81" s="547"/>
      <c r="F81" s="20" t="str">
        <f t="shared" si="20"/>
        <v/>
      </c>
      <c r="G81" s="525"/>
      <c r="H81" s="526"/>
      <c r="I81" s="530"/>
      <c r="J81" s="531"/>
      <c r="K81" s="368" t="str">
        <f t="shared" si="17"/>
        <v/>
      </c>
      <c r="L81" s="553" t="str">
        <f t="shared" si="10"/>
        <v/>
      </c>
      <c r="M81" s="554"/>
      <c r="W81" s="355"/>
      <c r="X81" s="355"/>
      <c r="Y81" s="492" t="str">
        <f t="shared" si="22"/>
        <v/>
      </c>
      <c r="AB81" s="350" t="str">
        <f t="shared" si="18"/>
        <v/>
      </c>
      <c r="AC81" s="362">
        <f t="shared" si="14"/>
        <v>0</v>
      </c>
      <c r="AL81" s="360" t="str">
        <f t="shared" si="19"/>
        <v/>
      </c>
      <c r="AM81" s="364" t="str">
        <f t="shared" si="6"/>
        <v/>
      </c>
      <c r="AN81" s="379">
        <f t="shared" si="15"/>
        <v>0</v>
      </c>
      <c r="AO81" s="365">
        <f t="shared" si="16"/>
        <v>0</v>
      </c>
      <c r="AP81" s="360"/>
      <c r="AQ81" s="362" t="str" cm="1">
        <f t="array" ref="AQ81">IF(AM79=TRUE,"",TRANSPOSE(_xlfn.IFS(D81="","",AND(OR(D81=End,D81=Loop)),Partenza,D81=up,Angolosu,D81=down,Angolodw,D81=sx,Angolosx,D81=Dx,Angolodx,D81=Angle,Direzioni)))</f>
        <v/>
      </c>
      <c r="AR81" s="360"/>
      <c r="AS81" s="360"/>
      <c r="AT81" s="360"/>
      <c r="AU81" s="360"/>
      <c r="AV81" s="360"/>
      <c r="AW81" s="360"/>
    </row>
    <row r="82" spans="1:49" ht="14.25" hidden="1">
      <c r="A82" s="366"/>
      <c r="B82" s="367"/>
      <c r="C82" s="20" t="str">
        <f t="shared" si="21"/>
        <v/>
      </c>
      <c r="D82" s="546"/>
      <c r="E82" s="547"/>
      <c r="F82" s="20" t="str">
        <f t="shared" si="20"/>
        <v/>
      </c>
      <c r="G82" s="525"/>
      <c r="H82" s="526"/>
      <c r="I82" s="530"/>
      <c r="J82" s="531"/>
      <c r="K82" s="368" t="str">
        <f t="shared" si="17"/>
        <v/>
      </c>
      <c r="L82" s="553" t="str">
        <f t="shared" si="10"/>
        <v/>
      </c>
      <c r="M82" s="554"/>
      <c r="W82" s="355"/>
      <c r="X82" s="355"/>
      <c r="Y82" s="492" t="str">
        <f t="shared" si="22"/>
        <v/>
      </c>
      <c r="AB82" s="350" t="str">
        <f t="shared" si="18"/>
        <v/>
      </c>
      <c r="AC82" s="362">
        <f t="shared" si="14"/>
        <v>0</v>
      </c>
      <c r="AL82" s="360" t="str">
        <f t="shared" si="19"/>
        <v/>
      </c>
      <c r="AM82" s="364" t="str">
        <f t="shared" si="6"/>
        <v/>
      </c>
      <c r="AN82" s="379">
        <f t="shared" si="15"/>
        <v>0</v>
      </c>
      <c r="AO82" s="365">
        <f t="shared" si="16"/>
        <v>0</v>
      </c>
      <c r="AP82" s="360"/>
      <c r="AQ82" s="362" t="str" cm="1">
        <f t="array" ref="AQ82">IF(AM80=TRUE,"",TRANSPOSE(_xlfn.IFS(D82="","",AND(OR(D82=End,D82=Loop)),Partenza,D82=up,Angolosu,D82=down,Angolodw,D82=sx,Angolosx,D82=Dx,Angolodx,D82=Angle,Direzioni)))</f>
        <v/>
      </c>
      <c r="AR82" s="360"/>
      <c r="AS82" s="360"/>
      <c r="AT82" s="360"/>
      <c r="AU82" s="360"/>
      <c r="AV82" s="360"/>
      <c r="AW82" s="360"/>
    </row>
    <row r="83" spans="1:49" ht="14.25" hidden="1">
      <c r="A83" s="366"/>
      <c r="B83" s="367"/>
      <c r="C83" s="20" t="str">
        <f t="shared" si="21"/>
        <v/>
      </c>
      <c r="D83" s="546"/>
      <c r="E83" s="547"/>
      <c r="F83" s="20" t="str">
        <f t="shared" si="20"/>
        <v/>
      </c>
      <c r="G83" s="525"/>
      <c r="H83" s="526"/>
      <c r="I83" s="530"/>
      <c r="J83" s="531"/>
      <c r="K83" s="368" t="str">
        <f t="shared" si="17"/>
        <v/>
      </c>
      <c r="L83" s="553" t="str">
        <f t="shared" si="10"/>
        <v/>
      </c>
      <c r="M83" s="554"/>
      <c r="W83" s="355"/>
      <c r="X83" s="355"/>
      <c r="Y83" s="492" t="str">
        <f t="shared" si="22"/>
        <v/>
      </c>
      <c r="AB83" s="350" t="str">
        <f t="shared" si="18"/>
        <v/>
      </c>
      <c r="AC83" s="362">
        <f t="shared" si="14"/>
        <v>0</v>
      </c>
      <c r="AL83" s="360" t="str">
        <f t="shared" si="19"/>
        <v/>
      </c>
      <c r="AM83" s="364" t="str">
        <f t="shared" si="6"/>
        <v/>
      </c>
      <c r="AN83" s="379">
        <f t="shared" si="15"/>
        <v>0</v>
      </c>
      <c r="AO83" s="365">
        <f t="shared" si="16"/>
        <v>0</v>
      </c>
      <c r="AP83" s="360"/>
      <c r="AQ83" s="362" t="str" cm="1">
        <f t="array" ref="AQ83">IF(AM81=TRUE,"",TRANSPOSE(_xlfn.IFS(D83="","",AND(OR(D83=End,D83=Loop)),Partenza,D83=up,Angolosu,D83=down,Angolodw,D83=sx,Angolosx,D83=Dx,Angolodx,D83=Angle,Direzioni)))</f>
        <v/>
      </c>
      <c r="AR83" s="360"/>
      <c r="AS83" s="360"/>
      <c r="AT83" s="360"/>
      <c r="AU83" s="360"/>
      <c r="AV83" s="360"/>
      <c r="AW83" s="360"/>
    </row>
    <row r="84" spans="1:49" ht="14.25" hidden="1">
      <c r="A84" s="366"/>
      <c r="B84" s="367"/>
      <c r="C84" s="20" t="str">
        <f t="shared" si="21"/>
        <v/>
      </c>
      <c r="D84" s="546"/>
      <c r="E84" s="547"/>
      <c r="F84" s="20" t="str">
        <f t="shared" si="20"/>
        <v/>
      </c>
      <c r="G84" s="525"/>
      <c r="H84" s="526"/>
      <c r="I84" s="530"/>
      <c r="J84" s="531"/>
      <c r="K84" s="368" t="str">
        <f t="shared" si="17"/>
        <v/>
      </c>
      <c r="L84" s="553" t="str">
        <f t="shared" si="10"/>
        <v/>
      </c>
      <c r="M84" s="554"/>
      <c r="W84" s="355"/>
      <c r="X84" s="355"/>
      <c r="Y84" s="492" t="str">
        <f t="shared" si="22"/>
        <v/>
      </c>
      <c r="AB84" s="350" t="str">
        <f t="shared" si="18"/>
        <v/>
      </c>
      <c r="AC84" s="362">
        <f t="shared" si="14"/>
        <v>0</v>
      </c>
      <c r="AL84" s="360" t="str">
        <f t="shared" si="19"/>
        <v/>
      </c>
      <c r="AM84" s="364" t="str">
        <f t="shared" si="6"/>
        <v/>
      </c>
      <c r="AN84" s="379">
        <f t="shared" si="15"/>
        <v>0</v>
      </c>
      <c r="AO84" s="365">
        <f t="shared" si="16"/>
        <v>0</v>
      </c>
      <c r="AP84" s="360"/>
      <c r="AQ84" s="362" t="str" cm="1">
        <f t="array" ref="AQ84">IF(AM82=TRUE,"",TRANSPOSE(_xlfn.IFS(D84="","",AND(OR(D84=End,D84=Loop)),Partenza,D84=up,Angolosu,D84=down,Angolodw,D84=sx,Angolosx,D84=Dx,Angolodx,D84=Angle,Direzioni)))</f>
        <v/>
      </c>
      <c r="AR84" s="360"/>
      <c r="AS84" s="360"/>
      <c r="AT84" s="360"/>
      <c r="AU84" s="360"/>
      <c r="AV84" s="360"/>
      <c r="AW84" s="360"/>
    </row>
    <row r="85" spans="1:49" ht="14.25" hidden="1">
      <c r="A85" s="366"/>
      <c r="B85" s="367"/>
      <c r="C85" s="20" t="str">
        <f t="shared" si="21"/>
        <v/>
      </c>
      <c r="D85" s="546"/>
      <c r="E85" s="547"/>
      <c r="F85" s="20" t="str">
        <f t="shared" si="20"/>
        <v/>
      </c>
      <c r="G85" s="525"/>
      <c r="H85" s="526"/>
      <c r="I85" s="530"/>
      <c r="J85" s="531"/>
      <c r="K85" s="368" t="str">
        <f t="shared" si="17"/>
        <v/>
      </c>
      <c r="L85" s="553" t="str">
        <f t="shared" si="10"/>
        <v/>
      </c>
      <c r="M85" s="554"/>
      <c r="W85" s="355"/>
      <c r="X85" s="355"/>
      <c r="Y85" s="492" t="str">
        <f t="shared" si="22"/>
        <v/>
      </c>
      <c r="AB85" s="350" t="str">
        <f t="shared" si="18"/>
        <v/>
      </c>
      <c r="AC85" s="362">
        <f t="shared" si="14"/>
        <v>0</v>
      </c>
      <c r="AL85" s="360" t="str">
        <f t="shared" si="19"/>
        <v/>
      </c>
      <c r="AM85" s="364" t="str">
        <f t="shared" si="6"/>
        <v/>
      </c>
      <c r="AN85" s="379">
        <f t="shared" si="15"/>
        <v>0</v>
      </c>
      <c r="AO85" s="365">
        <f t="shared" si="16"/>
        <v>0</v>
      </c>
      <c r="AP85" s="360"/>
      <c r="AQ85" s="362" t="str" cm="1">
        <f t="array" ref="AQ85">IF(AM83=TRUE,"",TRANSPOSE(_xlfn.IFS(D85="","",AND(OR(D85=End,D85=Loop)),Partenza,D85=up,Angolosu,D85=down,Angolodw,D85=sx,Angolosx,D85=Dx,Angolodx,D85=Angle,Direzioni)))</f>
        <v/>
      </c>
      <c r="AR85" s="360"/>
      <c r="AS85" s="360"/>
      <c r="AT85" s="360"/>
      <c r="AU85" s="360"/>
      <c r="AV85" s="360"/>
      <c r="AW85" s="360"/>
    </row>
    <row r="86" spans="1:49" ht="14.25" hidden="1">
      <c r="A86" s="366"/>
      <c r="B86" s="367"/>
      <c r="C86" s="20" t="str">
        <f t="shared" si="21"/>
        <v/>
      </c>
      <c r="D86" s="546"/>
      <c r="E86" s="547"/>
      <c r="F86" s="20" t="str">
        <f t="shared" si="20"/>
        <v/>
      </c>
      <c r="G86" s="525"/>
      <c r="H86" s="526"/>
      <c r="I86" s="530"/>
      <c r="J86" s="531"/>
      <c r="K86" s="368" t="str">
        <f t="shared" si="17"/>
        <v/>
      </c>
      <c r="L86" s="553" t="str">
        <f t="shared" si="10"/>
        <v/>
      </c>
      <c r="M86" s="554"/>
      <c r="W86" s="355"/>
      <c r="X86" s="355"/>
      <c r="Y86" s="492" t="str">
        <f t="shared" si="22"/>
        <v/>
      </c>
      <c r="AB86" s="350" t="str">
        <f t="shared" si="18"/>
        <v/>
      </c>
      <c r="AC86" s="362">
        <f t="shared" si="14"/>
        <v>0</v>
      </c>
      <c r="AL86" s="360" t="str">
        <f t="shared" si="19"/>
        <v/>
      </c>
      <c r="AM86" s="364" t="str">
        <f t="shared" si="6"/>
        <v/>
      </c>
      <c r="AN86" s="379">
        <f t="shared" si="15"/>
        <v>0</v>
      </c>
      <c r="AO86" s="365">
        <f t="shared" si="16"/>
        <v>0</v>
      </c>
      <c r="AP86" s="360"/>
      <c r="AQ86" s="362" t="str" cm="1">
        <f t="array" ref="AQ86">IF(AM84=TRUE,"",TRANSPOSE(_xlfn.IFS(D86="","",AND(OR(D86=End,D86=Loop)),Partenza,D86=up,Angolosu,D86=down,Angolodw,D86=sx,Angolosx,D86=Dx,Angolodx,D86=Angle,Direzioni)))</f>
        <v/>
      </c>
      <c r="AR86" s="360"/>
      <c r="AS86" s="360"/>
      <c r="AT86" s="360"/>
      <c r="AU86" s="360"/>
      <c r="AV86" s="360"/>
      <c r="AW86" s="360"/>
    </row>
    <row r="87" spans="1:49" ht="14.25" hidden="1">
      <c r="A87" s="366"/>
      <c r="B87" s="367"/>
      <c r="C87" s="20" t="str">
        <f t="shared" si="21"/>
        <v/>
      </c>
      <c r="D87" s="546"/>
      <c r="E87" s="547"/>
      <c r="F87" s="20" t="str">
        <f t="shared" si="20"/>
        <v/>
      </c>
      <c r="G87" s="525"/>
      <c r="H87" s="526"/>
      <c r="I87" s="530"/>
      <c r="J87" s="531"/>
      <c r="K87" s="368" t="str">
        <f t="shared" si="17"/>
        <v/>
      </c>
      <c r="L87" s="553" t="str">
        <f t="shared" si="10"/>
        <v/>
      </c>
      <c r="M87" s="554"/>
      <c r="W87" s="355"/>
      <c r="X87" s="355"/>
      <c r="Y87" s="492" t="str">
        <f t="shared" si="22"/>
        <v/>
      </c>
      <c r="AB87" s="350" t="str">
        <f t="shared" si="18"/>
        <v/>
      </c>
      <c r="AC87" s="362">
        <f t="shared" si="14"/>
        <v>0</v>
      </c>
      <c r="AH87" s="350" t="s">
        <v>19</v>
      </c>
      <c r="AL87" s="360" t="str">
        <f t="shared" si="19"/>
        <v/>
      </c>
      <c r="AM87" s="364" t="str">
        <f t="shared" si="6"/>
        <v/>
      </c>
      <c r="AN87" s="379">
        <f t="shared" si="15"/>
        <v>0</v>
      </c>
      <c r="AO87" s="365">
        <f t="shared" si="16"/>
        <v>0</v>
      </c>
      <c r="AP87" s="360"/>
      <c r="AQ87" s="362" t="str" cm="1">
        <f t="array" ref="AQ87">IF(AM85=TRUE,"",TRANSPOSE(_xlfn.IFS(D87="","",AND(OR(D87=End,D87=Loop)),Partenza,D87=up,Angolosu,D87=down,Angolodw,D87=sx,Angolosx,D87=Dx,Angolodx,D87=Angle,Direzioni)))</f>
        <v/>
      </c>
      <c r="AR87" s="360"/>
      <c r="AS87" s="360"/>
      <c r="AT87" s="360"/>
      <c r="AU87" s="360"/>
      <c r="AV87" s="360"/>
      <c r="AW87" s="360"/>
    </row>
    <row r="88" spans="1:49" ht="14.25" hidden="1">
      <c r="A88" s="366"/>
      <c r="B88" s="367"/>
      <c r="C88" s="20" t="str">
        <f t="shared" si="21"/>
        <v/>
      </c>
      <c r="D88" s="546"/>
      <c r="E88" s="547"/>
      <c r="F88" s="20" t="str">
        <f t="shared" si="20"/>
        <v/>
      </c>
      <c r="G88" s="525"/>
      <c r="H88" s="526"/>
      <c r="I88" s="530"/>
      <c r="J88" s="531"/>
      <c r="K88" s="368" t="str">
        <f t="shared" si="17"/>
        <v/>
      </c>
      <c r="L88" s="553" t="str">
        <f t="shared" si="10"/>
        <v/>
      </c>
      <c r="M88" s="554"/>
      <c r="W88" s="355"/>
      <c r="X88" s="355"/>
      <c r="Y88" s="492" t="str">
        <f t="shared" si="22"/>
        <v/>
      </c>
      <c r="AB88" s="350" t="str">
        <f t="shared" si="18"/>
        <v/>
      </c>
      <c r="AC88" s="362">
        <f t="shared" si="14"/>
        <v>0</v>
      </c>
      <c r="AL88" s="360" t="str">
        <f t="shared" si="19"/>
        <v/>
      </c>
      <c r="AM88" s="364" t="str">
        <f t="shared" si="6"/>
        <v/>
      </c>
      <c r="AN88" s="379">
        <f t="shared" si="15"/>
        <v>0</v>
      </c>
      <c r="AO88" s="365">
        <f t="shared" si="16"/>
        <v>0</v>
      </c>
      <c r="AP88" s="360"/>
      <c r="AQ88" s="362" t="str" cm="1">
        <f t="array" ref="AQ88">IF(AM86=TRUE,"",TRANSPOSE(_xlfn.IFS(D88="","",AND(OR(D88=End,D88=Loop)),Partenza,D88=up,Angolosu,D88=down,Angolodw,D88=sx,Angolosx,D88=Dx,Angolodx,D88=Angle,Direzioni)))</f>
        <v/>
      </c>
      <c r="AR88" s="360"/>
      <c r="AS88" s="360"/>
      <c r="AT88" s="360"/>
      <c r="AU88" s="360"/>
      <c r="AV88" s="360"/>
      <c r="AW88" s="360"/>
    </row>
    <row r="89" spans="1:49" ht="14.25" hidden="1">
      <c r="A89" s="366"/>
      <c r="B89" s="367"/>
      <c r="C89" s="20" t="str">
        <f t="shared" si="21"/>
        <v/>
      </c>
      <c r="D89" s="546"/>
      <c r="E89" s="547"/>
      <c r="F89" s="20" t="str">
        <f t="shared" si="20"/>
        <v/>
      </c>
      <c r="G89" s="525"/>
      <c r="H89" s="526"/>
      <c r="I89" s="530"/>
      <c r="J89" s="531"/>
      <c r="K89" s="368" t="str">
        <f t="shared" si="17"/>
        <v/>
      </c>
      <c r="L89" s="553" t="str">
        <f t="shared" si="10"/>
        <v/>
      </c>
      <c r="M89" s="554"/>
      <c r="W89" s="355"/>
      <c r="X89" s="355"/>
      <c r="Y89" s="492" t="str">
        <f t="shared" si="22"/>
        <v/>
      </c>
      <c r="AB89" s="350" t="str">
        <f t="shared" si="18"/>
        <v/>
      </c>
      <c r="AC89" s="362">
        <f t="shared" si="14"/>
        <v>0</v>
      </c>
      <c r="AL89" s="360" t="str">
        <f t="shared" si="19"/>
        <v/>
      </c>
      <c r="AM89" s="364" t="str">
        <f t="shared" si="6"/>
        <v/>
      </c>
      <c r="AN89" s="379">
        <f t="shared" si="15"/>
        <v>0</v>
      </c>
      <c r="AO89" s="365">
        <f t="shared" si="16"/>
        <v>0</v>
      </c>
      <c r="AP89" s="360"/>
      <c r="AQ89" s="362" t="str" cm="1">
        <f t="array" ref="AQ89">IF(AM87=TRUE,"",TRANSPOSE(_xlfn.IFS(D89="","",AND(OR(D89=End,D89=Loop)),Partenza,D89=up,Angolosu,D89=down,Angolodw,D89=sx,Angolosx,D89=Dx,Angolodx,D89=Angle,Direzioni)))</f>
        <v/>
      </c>
      <c r="AR89" s="360"/>
      <c r="AS89" s="360"/>
      <c r="AT89" s="360"/>
      <c r="AU89" s="360"/>
      <c r="AV89" s="360"/>
      <c r="AW89" s="360"/>
    </row>
    <row r="90" spans="1:49" ht="14.25" hidden="1">
      <c r="A90" s="366"/>
      <c r="B90" s="367"/>
      <c r="C90" s="20" t="str">
        <f t="shared" si="21"/>
        <v/>
      </c>
      <c r="D90" s="546"/>
      <c r="E90" s="547"/>
      <c r="F90" s="20" t="str">
        <f t="shared" si="20"/>
        <v/>
      </c>
      <c r="G90" s="525"/>
      <c r="H90" s="526"/>
      <c r="I90" s="530"/>
      <c r="J90" s="531"/>
      <c r="K90" s="368" t="str">
        <f t="shared" si="17"/>
        <v/>
      </c>
      <c r="L90" s="553" t="str">
        <f t="shared" si="10"/>
        <v/>
      </c>
      <c r="M90" s="554"/>
      <c r="W90" s="355"/>
      <c r="X90" s="355"/>
      <c r="Y90" s="492" t="str">
        <f t="shared" si="22"/>
        <v/>
      </c>
      <c r="AB90" s="350" t="str">
        <f t="shared" si="18"/>
        <v/>
      </c>
      <c r="AC90" s="362">
        <f t="shared" si="14"/>
        <v>0</v>
      </c>
      <c r="AL90" s="360" t="str">
        <f t="shared" si="19"/>
        <v/>
      </c>
      <c r="AM90" s="364" t="str">
        <f t="shared" si="6"/>
        <v/>
      </c>
      <c r="AN90" s="379">
        <f t="shared" si="15"/>
        <v>0</v>
      </c>
      <c r="AO90" s="365">
        <f t="shared" si="16"/>
        <v>0</v>
      </c>
      <c r="AP90" s="360"/>
      <c r="AQ90" s="362" t="str" cm="1">
        <f t="array" ref="AQ90">IF(AM88=TRUE,"",TRANSPOSE(_xlfn.IFS(D90="","",AND(OR(D90=End,D90=Loop)),Partenza,D90=up,Angolosu,D90=down,Angolodw,D90=sx,Angolosx,D90=Dx,Angolodx,D90=Angle,Direzioni)))</f>
        <v/>
      </c>
      <c r="AR90" s="360"/>
      <c r="AS90" s="360"/>
      <c r="AT90" s="360"/>
      <c r="AU90" s="360"/>
      <c r="AV90" s="360"/>
      <c r="AW90" s="360"/>
    </row>
    <row r="91" spans="1:49" ht="14.25" hidden="1">
      <c r="A91" s="366"/>
      <c r="B91" s="367"/>
      <c r="C91" s="20" t="str">
        <f t="shared" si="21"/>
        <v/>
      </c>
      <c r="D91" s="546"/>
      <c r="E91" s="547"/>
      <c r="F91" s="20" t="str">
        <f t="shared" si="20"/>
        <v/>
      </c>
      <c r="G91" s="525"/>
      <c r="H91" s="526"/>
      <c r="I91" s="530"/>
      <c r="J91" s="531"/>
      <c r="K91" s="368" t="str">
        <f t="shared" si="17"/>
        <v/>
      </c>
      <c r="L91" s="553" t="str">
        <f t="shared" si="10"/>
        <v/>
      </c>
      <c r="M91" s="554"/>
      <c r="W91" s="355"/>
      <c r="X91" s="355"/>
      <c r="Y91" s="492" t="str">
        <f t="shared" si="22"/>
        <v/>
      </c>
      <c r="AB91" s="350" t="str">
        <f t="shared" si="18"/>
        <v/>
      </c>
      <c r="AC91" s="362">
        <f t="shared" si="14"/>
        <v>0</v>
      </c>
      <c r="AL91" s="360" t="str">
        <f t="shared" si="19"/>
        <v/>
      </c>
      <c r="AM91" s="364" t="str">
        <f t="shared" si="6"/>
        <v/>
      </c>
      <c r="AN91" s="379">
        <f t="shared" si="15"/>
        <v>0</v>
      </c>
      <c r="AO91" s="365">
        <f t="shared" si="16"/>
        <v>0</v>
      </c>
      <c r="AP91" s="360"/>
      <c r="AQ91" s="362" t="str" cm="1">
        <f t="array" ref="AQ91">IF(AM89=TRUE,"",TRANSPOSE(_xlfn.IFS(D91="","",AND(OR(D91=End,D91=Loop)),Partenza,D91=up,Angolosu,D91=down,Angolodw,D91=sx,Angolosx,D91=Dx,Angolodx,D91=Angle,Direzioni)))</f>
        <v/>
      </c>
      <c r="AR91" s="360"/>
      <c r="AS91" s="360"/>
      <c r="AT91" s="360"/>
      <c r="AU91" s="360"/>
      <c r="AV91" s="360"/>
      <c r="AW91" s="360"/>
    </row>
    <row r="92" spans="1:49" ht="14.25" hidden="1">
      <c r="A92" s="366"/>
      <c r="B92" s="367"/>
      <c r="C92" s="20" t="str">
        <f t="shared" si="21"/>
        <v/>
      </c>
      <c r="D92" s="546"/>
      <c r="E92" s="547"/>
      <c r="F92" s="20" t="str">
        <f t="shared" si="20"/>
        <v/>
      </c>
      <c r="G92" s="525"/>
      <c r="H92" s="526"/>
      <c r="I92" s="530"/>
      <c r="J92" s="531"/>
      <c r="K92" s="368" t="str">
        <f t="shared" si="17"/>
        <v/>
      </c>
      <c r="L92" s="553" t="str">
        <f t="shared" si="10"/>
        <v/>
      </c>
      <c r="M92" s="554"/>
      <c r="W92" s="355"/>
      <c r="X92" s="355"/>
      <c r="Y92" s="492" t="str">
        <f t="shared" si="22"/>
        <v/>
      </c>
      <c r="AB92" s="350" t="str">
        <f t="shared" si="18"/>
        <v/>
      </c>
      <c r="AC92" s="362">
        <f t="shared" si="14"/>
        <v>0</v>
      </c>
      <c r="AL92" s="360" t="str">
        <f t="shared" si="19"/>
        <v/>
      </c>
      <c r="AM92" s="364" t="str">
        <f t="shared" si="6"/>
        <v/>
      </c>
      <c r="AN92" s="379">
        <f t="shared" si="15"/>
        <v>0</v>
      </c>
      <c r="AO92" s="365">
        <f t="shared" si="16"/>
        <v>0</v>
      </c>
      <c r="AP92" s="360"/>
      <c r="AQ92" s="362" t="str" cm="1">
        <f t="array" ref="AQ92">IF(AM90=TRUE,"",TRANSPOSE(_xlfn.IFS(D92="","",AND(OR(D92=End,D92=Loop)),Partenza,D92=up,Angolosu,D92=down,Angolodw,D92=sx,Angolosx,D92=Dx,Angolodx,D92=Angle,Direzioni)))</f>
        <v/>
      </c>
      <c r="AR92" s="360"/>
      <c r="AS92" s="360"/>
      <c r="AT92" s="360"/>
      <c r="AU92" s="360"/>
      <c r="AV92" s="360"/>
      <c r="AW92" s="360"/>
    </row>
    <row r="93" spans="1:49" ht="14.25" hidden="1">
      <c r="A93" s="366"/>
      <c r="B93" s="367"/>
      <c r="C93" s="20" t="str">
        <f t="shared" si="21"/>
        <v/>
      </c>
      <c r="D93" s="546"/>
      <c r="E93" s="547"/>
      <c r="F93" s="20" t="str">
        <f t="shared" si="20"/>
        <v/>
      </c>
      <c r="G93" s="525"/>
      <c r="H93" s="526"/>
      <c r="I93" s="530"/>
      <c r="J93" s="531"/>
      <c r="K93" s="368" t="str">
        <f t="shared" si="17"/>
        <v/>
      </c>
      <c r="L93" s="553" t="str">
        <f t="shared" si="10"/>
        <v/>
      </c>
      <c r="M93" s="554"/>
      <c r="W93" s="355"/>
      <c r="X93" s="355"/>
      <c r="Y93" s="492" t="str">
        <f t="shared" si="22"/>
        <v/>
      </c>
      <c r="AB93" s="350" t="str">
        <f t="shared" si="18"/>
        <v/>
      </c>
      <c r="AC93" s="362">
        <f t="shared" si="14"/>
        <v>0</v>
      </c>
      <c r="AL93" s="360" t="str">
        <f t="shared" si="19"/>
        <v/>
      </c>
      <c r="AM93" s="364" t="str">
        <f t="shared" si="6"/>
        <v/>
      </c>
      <c r="AN93" s="379">
        <f t="shared" si="15"/>
        <v>0</v>
      </c>
      <c r="AO93" s="365">
        <f t="shared" si="16"/>
        <v>0</v>
      </c>
      <c r="AP93" s="360"/>
      <c r="AQ93" s="362" t="str" cm="1">
        <f t="array" ref="AQ93">IF(AM91=TRUE,"",TRANSPOSE(_xlfn.IFS(D93="","",AND(OR(D93=End,D93=Loop)),Partenza,D93=up,Angolosu,D93=down,Angolodw,D93=sx,Angolosx,D93=Dx,Angolodx,D93=Angle,Direzioni)))</f>
        <v/>
      </c>
      <c r="AR93" s="360"/>
      <c r="AS93" s="360"/>
      <c r="AT93" s="360"/>
      <c r="AU93" s="360"/>
      <c r="AV93" s="360"/>
      <c r="AW93" s="360"/>
    </row>
    <row r="94" spans="1:49" ht="14.25" hidden="1">
      <c r="A94" s="366"/>
      <c r="B94" s="367"/>
      <c r="C94" s="20" t="str">
        <f t="shared" si="21"/>
        <v/>
      </c>
      <c r="D94" s="546"/>
      <c r="E94" s="547"/>
      <c r="F94" s="20" t="str">
        <f t="shared" si="20"/>
        <v/>
      </c>
      <c r="G94" s="525"/>
      <c r="H94" s="526"/>
      <c r="I94" s="530"/>
      <c r="J94" s="531"/>
      <c r="K94" s="368" t="str">
        <f t="shared" si="17"/>
        <v/>
      </c>
      <c r="L94" s="553" t="str">
        <f t="shared" si="10"/>
        <v/>
      </c>
      <c r="M94" s="554"/>
      <c r="W94" s="355"/>
      <c r="X94" s="355"/>
      <c r="Y94" s="492" t="str">
        <f t="shared" si="22"/>
        <v/>
      </c>
      <c r="AB94" s="350" t="str">
        <f t="shared" si="18"/>
        <v/>
      </c>
      <c r="AC94" s="362">
        <f t="shared" si="14"/>
        <v>0</v>
      </c>
      <c r="AL94" s="360" t="str">
        <f t="shared" si="19"/>
        <v/>
      </c>
      <c r="AM94" s="364" t="str">
        <f t="shared" si="6"/>
        <v/>
      </c>
      <c r="AN94" s="379">
        <f t="shared" si="15"/>
        <v>0</v>
      </c>
      <c r="AO94" s="365">
        <f t="shared" si="16"/>
        <v>0</v>
      </c>
      <c r="AP94" s="360"/>
      <c r="AQ94" s="362" t="str" cm="1">
        <f t="array" ref="AQ94">IF(AM92=TRUE,"",TRANSPOSE(_xlfn.IFS(D94="","",AND(OR(D94=End,D94=Loop)),Partenza,D94=up,Angolosu,D94=down,Angolodw,D94=sx,Angolosx,D94=Dx,Angolodx,D94=Angle,Direzioni)))</f>
        <v/>
      </c>
      <c r="AR94" s="360"/>
      <c r="AS94" s="360"/>
      <c r="AT94" s="360"/>
      <c r="AU94" s="360"/>
      <c r="AV94" s="360"/>
      <c r="AW94" s="360"/>
    </row>
    <row r="95" spans="1:49" ht="14.25" hidden="1">
      <c r="A95" s="366"/>
      <c r="B95" s="367"/>
      <c r="C95" s="20" t="str">
        <f t="shared" si="21"/>
        <v/>
      </c>
      <c r="D95" s="546"/>
      <c r="E95" s="547"/>
      <c r="F95" s="20" t="str">
        <f t="shared" si="20"/>
        <v/>
      </c>
      <c r="G95" s="525"/>
      <c r="H95" s="526"/>
      <c r="I95" s="530"/>
      <c r="J95" s="531"/>
      <c r="K95" s="368" t="str">
        <f t="shared" si="17"/>
        <v/>
      </c>
      <c r="L95" s="553" t="str">
        <f t="shared" si="10"/>
        <v/>
      </c>
      <c r="M95" s="554"/>
      <c r="W95" s="355"/>
      <c r="X95" s="355"/>
      <c r="Y95" s="492" t="str">
        <f t="shared" si="22"/>
        <v/>
      </c>
      <c r="AB95" s="350" t="str">
        <f t="shared" si="18"/>
        <v/>
      </c>
      <c r="AC95" s="362">
        <f t="shared" si="14"/>
        <v>0</v>
      </c>
      <c r="AL95" s="360" t="str">
        <f t="shared" si="19"/>
        <v/>
      </c>
      <c r="AM95" s="364" t="str">
        <f t="shared" si="6"/>
        <v/>
      </c>
      <c r="AN95" s="379">
        <f t="shared" si="15"/>
        <v>0</v>
      </c>
      <c r="AO95" s="365">
        <f t="shared" si="16"/>
        <v>0</v>
      </c>
      <c r="AP95" s="360"/>
      <c r="AQ95" s="362" t="str" cm="1">
        <f t="array" ref="AQ95">IF(AM93=TRUE,"",TRANSPOSE(_xlfn.IFS(D95="","",AND(OR(D95=End,D95=Loop)),Partenza,D95=up,Angolosu,D95=down,Angolodw,D95=sx,Angolosx,D95=Dx,Angolodx,D95=Angle,Direzioni)))</f>
        <v/>
      </c>
      <c r="AR95" s="360"/>
      <c r="AS95" s="360"/>
      <c r="AT95" s="360"/>
      <c r="AU95" s="360"/>
      <c r="AV95" s="360"/>
      <c r="AW95" s="360"/>
    </row>
    <row r="96" spans="1:49" ht="14.25" hidden="1">
      <c r="A96" s="366"/>
      <c r="B96" s="367"/>
      <c r="C96" s="20" t="str">
        <f t="shared" si="21"/>
        <v/>
      </c>
      <c r="D96" s="546"/>
      <c r="E96" s="547"/>
      <c r="F96" s="20" t="str">
        <f t="shared" si="20"/>
        <v/>
      </c>
      <c r="G96" s="525"/>
      <c r="H96" s="526"/>
      <c r="I96" s="530"/>
      <c r="J96" s="531"/>
      <c r="K96" s="368" t="str">
        <f t="shared" si="17"/>
        <v/>
      </c>
      <c r="L96" s="553" t="str">
        <f t="shared" si="10"/>
        <v/>
      </c>
      <c r="M96" s="554"/>
      <c r="W96" s="355"/>
      <c r="X96" s="355"/>
      <c r="Y96" s="492" t="str">
        <f t="shared" si="22"/>
        <v/>
      </c>
      <c r="AB96" s="350" t="str">
        <f t="shared" si="18"/>
        <v/>
      </c>
      <c r="AC96" s="362">
        <f t="shared" si="14"/>
        <v>0</v>
      </c>
      <c r="AL96" s="360" t="str">
        <f t="shared" si="19"/>
        <v/>
      </c>
      <c r="AM96" s="364" t="str">
        <f t="shared" si="6"/>
        <v/>
      </c>
      <c r="AN96" s="355">
        <f t="shared" si="15"/>
        <v>0</v>
      </c>
      <c r="AO96" s="359"/>
      <c r="AQ96" s="356" t="str" cm="1">
        <f t="array" ref="AQ96">IF(AM94=TRUE,"",TRANSPOSE(_xlfn.IFS(D96="","",AND(OR(D96=End,D96=Loop)),Partenza,D96=up,Angolosu,D96=down,Angolodw,D96=sx,Angolos9,D96=Dx,Angolodx,D96=Angle,Direzioni)))</f>
        <v/>
      </c>
    </row>
    <row r="97" spans="1:49" s="380" customFormat="1" ht="14.25" hidden="1">
      <c r="A97" s="366"/>
      <c r="B97" s="367"/>
      <c r="C97" s="20" t="str">
        <f t="shared" si="21"/>
        <v/>
      </c>
      <c r="D97" s="546"/>
      <c r="E97" s="547"/>
      <c r="F97" s="20" t="str">
        <f t="shared" si="20"/>
        <v/>
      </c>
      <c r="G97" s="525"/>
      <c r="H97" s="526"/>
      <c r="I97" s="530"/>
      <c r="J97" s="531"/>
      <c r="K97" s="368" t="str">
        <f t="shared" si="17"/>
        <v/>
      </c>
      <c r="L97" s="553" t="str">
        <f t="shared" si="10"/>
        <v/>
      </c>
      <c r="M97" s="554"/>
      <c r="N97" s="350"/>
      <c r="O97" s="350"/>
      <c r="P97" s="350"/>
      <c r="Q97" s="350"/>
      <c r="R97" s="350"/>
      <c r="S97" s="350"/>
      <c r="T97" s="350"/>
      <c r="U97" s="350"/>
      <c r="V97" s="350"/>
      <c r="W97" s="355"/>
      <c r="X97" s="355"/>
      <c r="Y97" s="492" t="str">
        <f t="shared" si="22"/>
        <v/>
      </c>
      <c r="Z97" s="350"/>
      <c r="AA97" s="351"/>
      <c r="AB97" s="380" t="str">
        <f t="shared" si="18"/>
        <v/>
      </c>
      <c r="AC97" s="362">
        <f t="shared" si="14"/>
        <v>0</v>
      </c>
      <c r="AL97" s="360" t="str">
        <f t="shared" si="19"/>
        <v/>
      </c>
    </row>
    <row r="98" spans="1:49" ht="12.75" hidden="1" customHeight="1">
      <c r="A98" s="366"/>
      <c r="B98" s="366"/>
      <c r="C98" s="421"/>
      <c r="D98" s="421"/>
      <c r="E98" s="421"/>
      <c r="F98" s="421"/>
      <c r="G98" s="421"/>
      <c r="H98" s="421"/>
      <c r="I98" s="421"/>
      <c r="J98" s="421"/>
      <c r="K98" s="421"/>
      <c r="L98" s="421"/>
      <c r="M98" s="421"/>
      <c r="W98" s="355"/>
      <c r="X98" s="355"/>
      <c r="Y98" s="492"/>
      <c r="AC98" s="362">
        <v>0</v>
      </c>
      <c r="AL98" s="360"/>
    </row>
    <row r="99" spans="1:49" ht="249.95" hidden="1" customHeight="1">
      <c r="A99" s="366"/>
      <c r="B99" s="366"/>
      <c r="C99" s="421"/>
      <c r="D99" s="421"/>
      <c r="E99" s="421"/>
      <c r="F99" s="421"/>
      <c r="G99" s="421"/>
      <c r="H99" s="421"/>
      <c r="I99" s="421"/>
      <c r="J99" s="421"/>
      <c r="K99" s="421"/>
      <c r="L99" s="421"/>
      <c r="M99" s="421"/>
      <c r="W99" s="355"/>
      <c r="X99" s="355"/>
      <c r="Y99" s="492"/>
      <c r="AF99" s="356">
        <v>0</v>
      </c>
      <c r="AL99" s="360"/>
    </row>
    <row r="100" spans="1:49" ht="249.95" hidden="1" customHeight="1">
      <c r="A100" s="366"/>
      <c r="B100" s="366"/>
      <c r="C100" s="421"/>
      <c r="D100" s="421"/>
      <c r="E100" s="421"/>
      <c r="F100" s="421"/>
      <c r="G100" s="421"/>
      <c r="H100" s="421"/>
      <c r="I100" s="421"/>
      <c r="J100" s="421"/>
      <c r="K100" s="421"/>
      <c r="L100" s="421"/>
      <c r="M100" s="421"/>
      <c r="W100" s="355"/>
      <c r="X100" s="355"/>
      <c r="Y100" s="492"/>
      <c r="AL100" s="360"/>
    </row>
    <row r="101" spans="1:49" ht="15" customHeight="1">
      <c r="W101" s="355"/>
      <c r="X101" s="355"/>
      <c r="AC101" s="362">
        <v>1</v>
      </c>
      <c r="AL101" s="360"/>
    </row>
    <row r="102" spans="1:49" ht="15">
      <c r="C102" s="574" t="str">
        <f>+Trads!$A$340&amp;" "&amp;Trads!$A$79</f>
        <v>Lunghezza Totale</v>
      </c>
      <c r="D102" s="575"/>
      <c r="E102" s="576"/>
      <c r="F102" s="543">
        <f>ROUND(SUBTOTAL(9,I35:J61,K35:K61),2)</f>
        <v>0</v>
      </c>
      <c r="G102" s="543"/>
      <c r="AC102" s="362">
        <v>1</v>
      </c>
      <c r="AL102" s="360"/>
    </row>
    <row r="103" spans="1:49" ht="5.0999999999999996" customHeight="1">
      <c r="B103" s="355"/>
      <c r="C103" s="355"/>
      <c r="D103" s="355"/>
      <c r="E103" s="355"/>
      <c r="F103" s="434"/>
      <c r="G103" s="434"/>
      <c r="H103" s="355"/>
      <c r="I103" s="355"/>
      <c r="J103" s="355"/>
      <c r="K103" s="355"/>
      <c r="L103" s="355"/>
      <c r="M103" s="355"/>
      <c r="N103" s="355"/>
      <c r="O103" s="355"/>
      <c r="P103" s="355"/>
      <c r="Q103" s="355"/>
      <c r="R103" s="355"/>
      <c r="S103" s="355"/>
      <c r="T103" s="355"/>
      <c r="U103" s="355"/>
      <c r="W103" s="355"/>
      <c r="X103" s="355"/>
      <c r="Y103" s="493"/>
      <c r="Z103" s="355"/>
      <c r="AA103" s="355"/>
      <c r="AB103" s="355"/>
      <c r="AC103" s="473">
        <v>1</v>
      </c>
      <c r="AD103" s="355"/>
      <c r="AE103" s="355"/>
      <c r="AF103" s="355"/>
      <c r="AG103" s="355"/>
      <c r="AH103" s="355"/>
      <c r="AI103" s="355"/>
      <c r="AJ103" s="355"/>
      <c r="AK103" s="355"/>
      <c r="AL103" s="360"/>
      <c r="AM103" s="355"/>
      <c r="AN103" s="355"/>
      <c r="AO103" s="355"/>
      <c r="AP103" s="355"/>
      <c r="AQ103" s="355"/>
      <c r="AR103" s="355"/>
      <c r="AS103" s="355"/>
      <c r="AT103" s="355"/>
      <c r="AU103" s="355"/>
      <c r="AV103" s="355"/>
      <c r="AW103" s="355"/>
    </row>
    <row r="104" spans="1:49" ht="15" customHeight="1">
      <c r="B104" s="355"/>
      <c r="C104" s="571" t="str">
        <f>+Trads!A610&amp;" [m]"</f>
        <v>Lunghezza massima campata [m]</v>
      </c>
      <c r="D104" s="572"/>
      <c r="E104" s="573"/>
      <c r="F104" s="542" t="str">
        <f>IF(D178=FALSE,"",MAX(L35:M88))</f>
        <v/>
      </c>
      <c r="G104" s="543"/>
      <c r="H104" s="355"/>
      <c r="N104" s="355"/>
      <c r="O104" s="355"/>
      <c r="P104" s="355"/>
      <c r="Q104" s="355"/>
      <c r="R104" s="355"/>
      <c r="S104" s="355"/>
      <c r="AC104" s="362">
        <v>1</v>
      </c>
      <c r="AL104" s="360"/>
    </row>
    <row r="105" spans="1:49" ht="5.0999999999999996" customHeight="1">
      <c r="I105" s="381"/>
      <c r="J105" s="381"/>
      <c r="K105" s="382"/>
      <c r="L105" s="355"/>
      <c r="M105" s="353"/>
    </row>
    <row r="106" spans="1:49" ht="15" hidden="1">
      <c r="C106" s="570" t="str">
        <f>+Trads!A611</f>
        <v>Carico applicato alla campata all'interno di questo segmento</v>
      </c>
      <c r="D106" s="570"/>
      <c r="E106" s="570"/>
      <c r="F106" s="570"/>
      <c r="G106" s="570"/>
      <c r="H106" s="542" t="str">
        <f>_xlfn.IFNA(+_xlfn.XLOOKUP(F104,L35:L97,AB35:AB97),"")</f>
        <v/>
      </c>
      <c r="I106" s="543"/>
      <c r="N106" s="479"/>
      <c r="O106" s="19"/>
      <c r="P106" s="19"/>
    </row>
    <row r="107" spans="1:49" ht="15" customHeight="1"/>
    <row r="108" spans="1:49" ht="18" customHeight="1">
      <c r="C108" s="552" t="str">
        <f>+Trads!A612</f>
        <v>Reazione sugli elementi di ancoraggio della fune a più campate</v>
      </c>
      <c r="D108" s="552"/>
      <c r="E108" s="552"/>
      <c r="F108" s="552"/>
      <c r="G108" s="552"/>
      <c r="H108" s="552"/>
      <c r="I108" s="552"/>
      <c r="J108" s="552"/>
      <c r="K108" s="552"/>
      <c r="L108" s="552"/>
      <c r="M108" s="552"/>
    </row>
    <row r="109" spans="1:49" ht="15" customHeight="1">
      <c r="C109" s="551" t="s">
        <v>20</v>
      </c>
      <c r="D109" s="551"/>
      <c r="E109" s="548" t="str">
        <f>+Trads!A348</f>
        <v>Terminali</v>
      </c>
      <c r="F109" s="549"/>
      <c r="G109" s="550"/>
      <c r="H109" s="548" t="str">
        <f>PROPER(Trads!$A$11)</f>
        <v>Intermedio</v>
      </c>
      <c r="I109" s="549"/>
      <c r="J109" s="550"/>
      <c r="K109" s="548" t="str">
        <f>+Trads!$A$613</f>
        <v>Curva</v>
      </c>
      <c r="L109" s="549"/>
      <c r="M109" s="550"/>
    </row>
    <row r="110" spans="1:49" ht="15" customHeight="1">
      <c r="C110" s="551"/>
      <c r="D110" s="551"/>
      <c r="E110" s="383" t="s">
        <v>21</v>
      </c>
      <c r="F110" s="383" t="s">
        <v>22</v>
      </c>
      <c r="G110" s="383" t="str">
        <f>+Trads!$A$618&amp;" [kN]"</f>
        <v>Modulo [kN]</v>
      </c>
      <c r="H110" s="383" t="s">
        <v>21</v>
      </c>
      <c r="I110" s="383" t="s">
        <v>22</v>
      </c>
      <c r="J110" s="383" t="str">
        <f>+Trads!$A$618&amp;" [kN]"</f>
        <v>Modulo [kN]</v>
      </c>
      <c r="K110" s="383" t="s">
        <v>21</v>
      </c>
      <c r="L110" s="383" t="s">
        <v>22</v>
      </c>
      <c r="M110" s="383" t="str">
        <f>+Trads!$A$618&amp;" [kN]"</f>
        <v>Modulo [kN]</v>
      </c>
    </row>
    <row r="111" spans="1:49" ht="25.35" customHeight="1">
      <c r="C111" s="555" t="str">
        <f>+Trads!A629</f>
        <v>ancoraggi alla campata caricata</v>
      </c>
      <c r="D111" s="556"/>
      <c r="E111" s="384" t="str">
        <f>+IF(D178=FALSE,"",IFERROR(SupLL!P107,0))</f>
        <v/>
      </c>
      <c r="F111" s="384" t="str">
        <f>IF(D178=FALSE,"",IFERROR(SupLL!P106,0))</f>
        <v/>
      </c>
      <c r="G111" s="384" t="str">
        <f>+IF(D178=FALSE,"",IFERROR(_xlfn.FORECAST.LINEAR(ProjSpan,FxDb,SpanDB),0))</f>
        <v/>
      </c>
      <c r="H111" s="384" t="str">
        <f>IF(D178=FALSE,"",IFERROR(SupLL!P107,0))</f>
        <v/>
      </c>
      <c r="I111" s="384" t="str">
        <f>IF(D178=FALSE,"",IFERROR(SupLL!P106,0))</f>
        <v/>
      </c>
      <c r="J111" s="384" t="str">
        <f>IF(D178=FALSE,"",IFERROR(_xlfn.FORECAST.LINEAR(ProjSpan,FxDb,SpanDB),0))</f>
        <v/>
      </c>
      <c r="K111" s="581" t="str">
        <f>IF(D178=FALSE,"",IFERROR(VLOOKUP(M111,AA191:AC253,2,FALSE),0))</f>
        <v/>
      </c>
      <c r="L111" s="581" t="str">
        <f>IF(D178=FALSE,"",IFERROR(VLOOKUP(M111,AA191:AC253,3,FALSE),0))</f>
        <v/>
      </c>
      <c r="M111" s="583" t="str">
        <f>IF(D178=FALSE,"",IFERROR(AA256,0))</f>
        <v/>
      </c>
    </row>
    <row r="112" spans="1:49" ht="25.35" customHeight="1">
      <c r="C112" s="555" t="str">
        <f>+Trads!A630</f>
        <v>ancoraggi alla campata non caricata</v>
      </c>
      <c r="D112" s="556"/>
      <c r="E112" s="384" t="str">
        <f>+IF(D178=FALSE,"",IFERROR(_xlfn.FORECAST.LINEAR(ProjSpan,FxDb,SpanDB),0))</f>
        <v/>
      </c>
      <c r="F112" s="384" t="str">
        <f>IF(D178=FALSE,"",0)</f>
        <v/>
      </c>
      <c r="G112" s="384" t="str">
        <f>E112</f>
        <v/>
      </c>
      <c r="H112" s="384" t="str">
        <f>+IF(D178=FALSE,"",0)</f>
        <v/>
      </c>
      <c r="I112" s="384" t="str">
        <f>IF(D178=FALSE,"",0)</f>
        <v/>
      </c>
      <c r="J112" s="384" t="str">
        <f>IF(D178=FALSE,"",0)</f>
        <v/>
      </c>
      <c r="K112" s="582"/>
      <c r="L112" s="582"/>
      <c r="M112" s="584"/>
      <c r="AQ112" s="362" t="s">
        <v>23</v>
      </c>
      <c r="AR112" s="419" t="str">
        <f>IF(AK123=0,"",+AK123)</f>
        <v/>
      </c>
    </row>
    <row r="113" spans="3:52">
      <c r="AQ113" s="360" t="s">
        <v>24</v>
      </c>
      <c r="AR113" s="360" t="str">
        <f>IFERROR(+_xlfn.CONCAT(H118,": ",_xlfn.CEILING.MATH(TRUNC(AR119,2),0.01)),"")</f>
        <v/>
      </c>
    </row>
    <row r="114" spans="3:52" ht="15" customHeight="1">
      <c r="C114" s="527" t="str">
        <f>+Trads!$A$614&amp;" [kN]"</f>
        <v>Carico massimo di progetto [kN]</v>
      </c>
      <c r="D114" s="577"/>
      <c r="E114" s="528"/>
      <c r="F114" s="580" t="str">
        <f>IF(D178=FALSE,"",MAX(G111:G112,J111:J112,M111))</f>
        <v/>
      </c>
      <c r="G114" s="580"/>
      <c r="H114" s="585" t="str">
        <f>+Trads!$A$615</f>
        <v>Freccia della fune della campata rispetto ai vincoli delle estremità di giunzione</v>
      </c>
      <c r="I114" s="586"/>
      <c r="J114" s="586"/>
      <c r="K114" s="586"/>
      <c r="L114" s="586"/>
      <c r="M114" s="587"/>
      <c r="AL114" s="350" t="s">
        <v>25</v>
      </c>
      <c r="AM114" s="350">
        <f>+_xlfn.XLOOKUP(AH124,AB35:AB40,AO34:AO39)</f>
        <v>0</v>
      </c>
    </row>
    <row r="115" spans="3:52" ht="5.0999999999999996" customHeight="1"/>
    <row r="116" spans="3:52" ht="15" hidden="1" customHeight="1">
      <c r="H116" s="571" t="str">
        <f>+Trads!$A$616</f>
        <v>Campata caricata</v>
      </c>
      <c r="I116" s="572"/>
      <c r="J116" s="573"/>
      <c r="K116" s="588" t="str">
        <f>IF(D178=FALSE,"",IFERROR(+H106,""))</f>
        <v/>
      </c>
      <c r="L116" s="578"/>
      <c r="M116" s="579"/>
      <c r="AL116" s="350" t="b">
        <f>+IF(M111=0,TRUE,FALSE)</f>
        <v>0</v>
      </c>
    </row>
    <row r="117" spans="3:52" ht="5.0999999999999996" customHeight="1">
      <c r="H117" s="381"/>
      <c r="I117" s="381"/>
      <c r="J117" s="381"/>
      <c r="K117" s="356"/>
      <c r="L117" s="435"/>
      <c r="M117" s="356"/>
    </row>
    <row r="118" spans="3:52" ht="15">
      <c r="H118" s="571" t="str">
        <f>+Trads!A617&amp;" [m]"</f>
        <v>Freccia [m]</v>
      </c>
      <c r="I118" s="572"/>
      <c r="J118" s="573"/>
      <c r="K118" s="578" t="str">
        <f>IF(D178=FALSE,"",IFERROR(IF(TotLung&lt;=MaxSpan,SupLL!S99,SupLL!S99+SupLL!S104/1000),""))</f>
        <v/>
      </c>
      <c r="L118" s="578"/>
      <c r="M118" s="579"/>
      <c r="N118" s="350" t="s">
        <v>26</v>
      </c>
      <c r="AN118" s="350" t="s">
        <v>27</v>
      </c>
      <c r="AP118" s="360">
        <v>15</v>
      </c>
      <c r="AR118" s="362" t="s">
        <v>28</v>
      </c>
    </row>
    <row r="119" spans="3:52" ht="15" customHeight="1">
      <c r="H119" s="350" t="str">
        <f>IF(D178=FALSE,"",+"*"&amp;ROUND(SupLL!S103/1000,2)&amp;Trads!A619)</f>
        <v/>
      </c>
      <c r="AP119" s="360" t="str">
        <f>+ProjSpan</f>
        <v/>
      </c>
      <c r="AR119" s="419" t="str">
        <f>+K118</f>
        <v/>
      </c>
    </row>
    <row r="120" spans="3:52" ht="15" customHeight="1">
      <c r="AK120" s="350" t="b">
        <f>+IF(D36=End,TRUE,FALSE)</f>
        <v>0</v>
      </c>
      <c r="AN120" s="385" t="str">
        <f>+G111</f>
        <v/>
      </c>
      <c r="AP120" s="360" t="str">
        <f>+IF(D178=FALSE,"",IF(AP119=0,0,(AP118-AP119)/2))</f>
        <v/>
      </c>
    </row>
    <row r="121" spans="3:52" ht="18" customHeight="1">
      <c r="C121" s="552" t="str">
        <f>+H114</f>
        <v>Freccia della fune della campata rispetto ai vincoli delle estremità di giunzione</v>
      </c>
      <c r="D121" s="552"/>
      <c r="E121" s="552"/>
      <c r="F121" s="552"/>
      <c r="G121" s="552"/>
      <c r="H121" s="552"/>
      <c r="I121" s="552"/>
      <c r="J121" s="552"/>
      <c r="K121" s="552"/>
      <c r="L121" s="552"/>
      <c r="M121" s="552"/>
      <c r="AN121" s="350" t="str">
        <f>+M111</f>
        <v/>
      </c>
    </row>
    <row r="122" spans="3:52">
      <c r="AK122" s="365" t="s">
        <v>29</v>
      </c>
      <c r="AL122" s="365" t="s">
        <v>30</v>
      </c>
      <c r="AM122" s="359" t="s">
        <v>31</v>
      </c>
      <c r="AU122" s="350" t="s">
        <v>32</v>
      </c>
    </row>
    <row r="123" spans="3:52">
      <c r="AK123" s="438" t="str">
        <f>+ProjSpan</f>
        <v/>
      </c>
      <c r="AL123" s="365" t="str">
        <f>+IF(D178=FALSE,"",+AK123/2)</f>
        <v/>
      </c>
      <c r="AM123" s="350" t="s">
        <v>33</v>
      </c>
      <c r="AN123" s="534" t="s">
        <v>34</v>
      </c>
      <c r="AO123" s="534"/>
      <c r="AP123" s="534" t="s">
        <v>35</v>
      </c>
      <c r="AQ123" s="534"/>
      <c r="AR123" s="350" t="s">
        <v>28</v>
      </c>
      <c r="AU123" s="362" t="s">
        <v>36</v>
      </c>
      <c r="AV123" s="362" t="s">
        <v>37</v>
      </c>
    </row>
    <row r="124" spans="3:52">
      <c r="AH124" s="364" t="str">
        <f>+K116</f>
        <v/>
      </c>
      <c r="AL124" s="369" t="s">
        <v>38</v>
      </c>
      <c r="AM124" s="360" t="str">
        <f>_xlfn.IFNA(+_xlfn.XLOOKUP("MIN",AZ126:AZ127,AM126:AM127),"")</f>
        <v/>
      </c>
      <c r="AN124" s="436" t="s">
        <v>36</v>
      </c>
      <c r="AO124" s="436" t="s">
        <v>37</v>
      </c>
      <c r="AP124" s="436" t="s">
        <v>39</v>
      </c>
      <c r="AQ124" s="436" t="s">
        <v>40</v>
      </c>
      <c r="AR124" s="436" t="s">
        <v>36</v>
      </c>
      <c r="AS124" s="436" t="s">
        <v>37</v>
      </c>
      <c r="AU124" s="362" t="str">
        <f>+AN126</f>
        <v/>
      </c>
      <c r="AV124" s="362">
        <v>2</v>
      </c>
    </row>
    <row r="125" spans="3:52">
      <c r="AH125" s="350" t="str">
        <f>+_xlfn.CONCAT(AH126-1,"-",AH126)</f>
        <v>-1-0</v>
      </c>
      <c r="AI125" s="360" t="str">
        <f>+_xlfn.XLOOKUP($AH$124,$AB$35:$AB$97,AO33:AO95)</f>
        <v>int</v>
      </c>
      <c r="AL125" s="360" t="str">
        <f>IF(AK119=TRUE,Trads!A630,IF(AM125=0,"",+IF(AM125=$AM$124,Trads!A630,"")))</f>
        <v/>
      </c>
      <c r="AN125" s="360"/>
      <c r="AO125" s="360"/>
      <c r="AP125" s="365"/>
      <c r="AQ125" s="365"/>
      <c r="AU125" s="419" t="str">
        <f>+AN128</f>
        <v/>
      </c>
      <c r="AV125" s="362">
        <v>2</v>
      </c>
      <c r="AX125" s="362" t="s">
        <v>41</v>
      </c>
    </row>
    <row r="126" spans="3:52">
      <c r="AH126" s="360">
        <f>_xlfn.NUMBERVALUE(LEFT(AH124,1))</f>
        <v>0</v>
      </c>
      <c r="AI126" s="499">
        <f>+_xlfn.XLOOKUP($AH$124,$AB$35:$AB$97,AO34:AO96)</f>
        <v>0</v>
      </c>
      <c r="AK126" s="360" t="s">
        <v>42</v>
      </c>
      <c r="AL126" s="360" t="str">
        <f>+IF(AI126=0,"",IF(AI126=1,"",Trads!A631))</f>
        <v/>
      </c>
      <c r="AM126" s="440" t="str">
        <f>+IF(D178=FALSE,"",IF(AL126="",AH126,_xlfn.CONCAT(AL126," ",AH124)))</f>
        <v/>
      </c>
      <c r="AN126" s="362" t="str">
        <f>+IF(D178=FALSE,"",0+AP120)</f>
        <v/>
      </c>
      <c r="AO126" s="362" t="str">
        <f>+IF(D178=FALSE,"",0)</f>
        <v/>
      </c>
      <c r="AP126" s="439" t="str">
        <f>+AN126</f>
        <v/>
      </c>
      <c r="AQ126" s="362" t="str">
        <f>+IF(D178=FALSE,"",0)</f>
        <v/>
      </c>
      <c r="AR126" s="362" t="str">
        <f>+AN127</f>
        <v/>
      </c>
      <c r="AS126" s="362" t="str">
        <f>+IF(D178=FALSE,"",0)</f>
        <v/>
      </c>
      <c r="AU126" s="362"/>
      <c r="AV126" s="362"/>
      <c r="AX126" s="362">
        <f>IF(AH126=1,FALSE,VLOOKUP(AH126,CoordXY,11,FALSE))</f>
        <v>0</v>
      </c>
      <c r="AY126" s="365">
        <f>+ABS(180-AX126)</f>
        <v>180</v>
      </c>
      <c r="AZ126" s="350" t="str">
        <f>+IF(AY126&lt;=AY127,"MIN","")</f>
        <v>MIN</v>
      </c>
    </row>
    <row r="127" spans="3:52">
      <c r="AH127" s="360">
        <f>_xlfn.NUMBERVALUE(+RIGHT(AH124,1))</f>
        <v>0</v>
      </c>
      <c r="AI127" s="360"/>
      <c r="AK127" s="360" t="s">
        <v>42</v>
      </c>
      <c r="AL127" s="360" t="str">
        <f>+IF(AI126=0,"",Trads!A631)</f>
        <v/>
      </c>
      <c r="AM127" s="440" t="str">
        <f>+IF(D178=FALSE,"",IF(AL127="",AH127,_xlfn.CONCAT(AL127," ",AH124)))</f>
        <v/>
      </c>
      <c r="AN127" s="362" t="str">
        <f>+IF(D178=FALSE,"",AL123+AP120)</f>
        <v/>
      </c>
      <c r="AO127" s="419" t="str">
        <f>+IF(D178=FALSE,"",IFERROR(-AR119,0))</f>
        <v/>
      </c>
      <c r="AP127" s="439" t="str">
        <f>+AN128</f>
        <v/>
      </c>
      <c r="AQ127" s="362" t="str">
        <f>+IF(D178=FALSE,"",0)</f>
        <v/>
      </c>
      <c r="AR127" s="362" t="str">
        <f>+AR126</f>
        <v/>
      </c>
      <c r="AS127" s="419" t="str">
        <f>+AO127</f>
        <v/>
      </c>
      <c r="AU127" s="362"/>
      <c r="AV127" s="362"/>
      <c r="AX127" s="362">
        <f>+VLOOKUP(AH127,CoordXY,11,FALSE)</f>
        <v>0</v>
      </c>
      <c r="AY127" s="365">
        <f>IFERROR(+ABS(180-AX127),"")</f>
        <v>180</v>
      </c>
      <c r="AZ127" s="350" t="str">
        <f>+IF(AY127&lt;=AY126,"MIN","")</f>
        <v>MIN</v>
      </c>
    </row>
    <row r="128" spans="3:52">
      <c r="AH128" s="350" t="str">
        <f>+_xlfn.CONCAT(AH127,"-",AH127+1)</f>
        <v>0-1</v>
      </c>
      <c r="AI128" s="360">
        <f>+_xlfn.XLOOKUP($AH$124,$AB$35:$AB$97,AO35:AO97)</f>
        <v>0</v>
      </c>
      <c r="AL128" s="360" t="str">
        <f>IF(AK122=TRUE,Trads!A633,IF(AM128=0,"",+IF(AM128=$AM$124,Trads!A633,"")))</f>
        <v/>
      </c>
      <c r="AN128" s="419" t="str">
        <f>+IF(D178=FALSE,"",+AK123+AP120)</f>
        <v/>
      </c>
      <c r="AO128" s="362" t="str">
        <f>+IF(D178=FALSE,"",0)</f>
        <v/>
      </c>
      <c r="AP128" s="439" t="str">
        <f>+AP127</f>
        <v/>
      </c>
      <c r="AQ128" s="362" t="str">
        <f>+IF(D178=FALSE,"",0)</f>
        <v/>
      </c>
    </row>
    <row r="129" spans="1:50">
      <c r="AN129" s="362"/>
      <c r="AO129" s="362"/>
      <c r="AP129" s="439"/>
      <c r="AQ129" s="362"/>
      <c r="AU129" s="350" t="s">
        <v>43</v>
      </c>
      <c r="AX129" s="362" t="s">
        <v>44</v>
      </c>
    </row>
    <row r="130" spans="1:50">
      <c r="AN130" s="362"/>
      <c r="AO130" s="362"/>
      <c r="AP130" s="439"/>
      <c r="AQ130" s="362"/>
      <c r="AU130" s="350">
        <v>2</v>
      </c>
      <c r="AX130" s="362">
        <f>+C187</f>
        <v>0</v>
      </c>
    </row>
    <row r="131" spans="1:50">
      <c r="AO131" s="544" t="s">
        <v>45</v>
      </c>
      <c r="AP131" s="544"/>
    </row>
    <row r="132" spans="1:50">
      <c r="AM132" s="362" t="s">
        <v>46</v>
      </c>
      <c r="AO132" s="362" t="s">
        <v>36</v>
      </c>
      <c r="AP132" s="362" t="s">
        <v>37</v>
      </c>
      <c r="AR132" s="437" t="s">
        <v>47</v>
      </c>
      <c r="AS132" s="437" t="s">
        <v>48</v>
      </c>
    </row>
    <row r="133" spans="1:50">
      <c r="AH133" s="360" t="s">
        <v>49</v>
      </c>
      <c r="AI133" s="360">
        <f>IFERROR(AN141-(IF(AL126&lt;&gt;"",80,20)),0)</f>
        <v>-20</v>
      </c>
      <c r="AJ133" s="350">
        <f>+IF(AL126="",-20,0)</f>
        <v>-20</v>
      </c>
      <c r="AM133" s="420">
        <v>2</v>
      </c>
      <c r="AO133" s="362">
        <f>+MAX(AN126:AN130,AP126:AP130)</f>
        <v>0</v>
      </c>
      <c r="AP133" s="362">
        <f>MAX(AO126:AO130,AQ126:AQ130)</f>
        <v>0</v>
      </c>
      <c r="AR133" s="365">
        <f>+MAX(AN126:AN130,AP126:AP130)</f>
        <v>0</v>
      </c>
      <c r="AS133" s="365">
        <f>IF(AP133=0,12,ABS(+MIN(AO126:AO130,AQ126:AQ130)))</f>
        <v>12</v>
      </c>
    </row>
    <row r="134" spans="1:50">
      <c r="AH134" s="360" t="s">
        <v>50</v>
      </c>
      <c r="AI134" s="360">
        <f>IFERROR(AN142-(IF(AL127&lt;&gt;"",80,20)),0)</f>
        <v>-20</v>
      </c>
      <c r="AJ134" s="350">
        <f>+IF(AL127="",-20,0)</f>
        <v>-20</v>
      </c>
      <c r="AL134" s="362"/>
      <c r="AM134" s="544" t="s">
        <v>51</v>
      </c>
      <c r="AN134" s="545"/>
      <c r="AO134" s="362">
        <f>+AO133+AM133</f>
        <v>2</v>
      </c>
      <c r="AP134" s="362">
        <f>IF(AP133=0,15+AP133+AM133,AP133+AM133)</f>
        <v>17</v>
      </c>
    </row>
    <row r="135" spans="1:50">
      <c r="S135"/>
      <c r="AH135" s="360" t="s">
        <v>52</v>
      </c>
      <c r="AI135" s="360">
        <v>30</v>
      </c>
      <c r="AL135" s="362"/>
      <c r="AM135" s="436" t="s">
        <v>36</v>
      </c>
      <c r="AN135" s="436" t="s">
        <v>37</v>
      </c>
      <c r="AS135" s="350">
        <f>+IFERROR((AS133/AR133)/3,0)</f>
        <v>0</v>
      </c>
      <c r="AU135" s="350">
        <f>21/7</f>
        <v>3</v>
      </c>
    </row>
    <row r="136" spans="1:50">
      <c r="AH136" s="360" t="s">
        <v>53</v>
      </c>
      <c r="AI136" s="360">
        <v>30</v>
      </c>
      <c r="AL136" s="362"/>
      <c r="AM136" s="362">
        <f>+MIN(AN126:AN130,AP126:AP130)</f>
        <v>0</v>
      </c>
      <c r="AN136" s="468">
        <f>+IFERROR(MIN(AO126:AO130,AQ126:AQ130)*AS135,0)</f>
        <v>0</v>
      </c>
      <c r="AP136" s="469">
        <f>+ABS(AN136-AP133)</f>
        <v>0</v>
      </c>
      <c r="AQ136" s="350" t="s">
        <v>54</v>
      </c>
    </row>
    <row r="137" spans="1:50">
      <c r="AL137" s="362"/>
      <c r="AM137" s="362">
        <f>+AM136-AM133</f>
        <v>-2</v>
      </c>
      <c r="AN137" s="468">
        <f>+AN136-AM133</f>
        <v>-2</v>
      </c>
      <c r="AP137" s="350">
        <f>+AO134</f>
        <v>2</v>
      </c>
      <c r="AQ137" s="359">
        <f>IFERROR(+AP137/AP136,0)</f>
        <v>0</v>
      </c>
    </row>
    <row r="138" spans="1:50" ht="15.75" customHeight="1"/>
    <row r="139" spans="1:50">
      <c r="C139" s="350" t="str">
        <f>+Trads!A624</f>
        <v>NOTE</v>
      </c>
    </row>
    <row r="140" spans="1:50" ht="15" customHeight="1">
      <c r="C140" s="350" t="str">
        <f>+Trads!A622</f>
        <v>I fissaggi e gli ancoraggi devono essere gli stessi in tutti i punti di ancoraggio.</v>
      </c>
    </row>
    <row r="141" spans="1:50" ht="15" customHeight="1">
      <c r="C141" s="350" t="str">
        <f>+Trads!A623</f>
        <v>Prima della costruzione, tutti i calcoli devono essere verificati e approvati dal progettista responsabile.</v>
      </c>
      <c r="AL141" s="350">
        <v>-2</v>
      </c>
      <c r="AM141" s="350">
        <v>0</v>
      </c>
      <c r="AN141" s="350">
        <f>IFERROR(_xlfn.FORECAST.LINEAR(AU124,$AM$141:$AM$142,$AL$141:$AL$142),0)</f>
        <v>0</v>
      </c>
    </row>
    <row r="142" spans="1:50" s="429" customFormat="1" ht="15" customHeight="1">
      <c r="A142" s="421"/>
      <c r="C142" s="429" t="str">
        <f>+Trads!A625</f>
        <v>I valori di resistenza meccanica e la geometria si riferiscono alla certificazione del prodotto.</v>
      </c>
      <c r="G142" s="430"/>
      <c r="L142" s="431"/>
      <c r="Y142" s="494"/>
      <c r="AA142" s="432"/>
      <c r="AC142" s="362"/>
      <c r="AL142" s="429">
        <v>17</v>
      </c>
      <c r="AM142" s="429">
        <v>730</v>
      </c>
      <c r="AN142" s="350">
        <f>IFERROR(+_xlfn.FORECAST.LINEAR(AU125,$AM$141:$AM$142,$AL$141:$AL$142),0)</f>
        <v>0</v>
      </c>
    </row>
    <row r="143" spans="1:50" ht="15" customHeight="1">
      <c r="C143" s="428" t="str">
        <f>+Trads!A626</f>
        <v>La verifica della resistenza dei sistemi di ancoraggio deve essere realizzata a parte.</v>
      </c>
    </row>
    <row r="144" spans="1:50" ht="48" customHeight="1">
      <c r="C144" s="616" t="str">
        <f>+Trads!A627</f>
        <v>Tutti i calcoli devono essere verificati e approvati dal progettista responsabile prima dell'esecuzione. Il progettista è tenuto a verificare, ad ogni utilizzo, la conformità dei dati alle normative vigenti e al progetto. La responsabilità ultima della scelta del prodotto appropriato per una specifica applicazione spetta al progettista.</v>
      </c>
      <c r="D144" s="616"/>
      <c r="E144" s="616"/>
      <c r="F144" s="616"/>
      <c r="G144" s="616"/>
      <c r="H144" s="616"/>
      <c r="I144" s="616"/>
      <c r="J144" s="616"/>
      <c r="K144" s="616"/>
      <c r="L144" s="616"/>
      <c r="M144" s="616"/>
      <c r="N144" s="481"/>
    </row>
    <row r="145" spans="1:29" s="426" customFormat="1" ht="125.25" customHeight="1">
      <c r="A145" s="421"/>
      <c r="C145" s="616" t="str">
        <f>+Trads!A628</f>
        <v>I risultati ottenuti in questa scheda sono di natura indicativa e vanno considerati come un servizio tecnico-commerciale nell'ambito dell'attività di vendita di Rotho Blaas srl. Il numero e lo spessore degli inserti devono essere determinati dal progettista responsabile che è tenuto a verificare l'esattezza dei risultati derivanti dall'elaborazione dei dati inseriti. Rotho Blaas srl non garantisce la conformità alla normativa vigente e la progettazione dei calcoli effettuati tramite questo foglio di calcolo. In particolare, in seguito alla modifica delle disposizioni pertinenti, quali ad esempio norme, approvazioni, ecc. il programma potrebbe diventare, in parte o in toto, non valido. Rotho Blaas srl non garantisce e non sarà responsabile per danni o conseguenze dirette o indirette o altro, in qualsiasi modo (garanzia per difetti, garanzia per malfunzionamento, responsabilità del prodotto o legale, ecc.) L'Utente dichiara di utilizzare il foglio di calcolo in qualità di professionista con l'obbligo e la responsabilità di verificare che il foglio di calcolo risponda alle sue specifiche esigenze.</v>
      </c>
      <c r="D145" s="616"/>
      <c r="E145" s="616"/>
      <c r="F145" s="616"/>
      <c r="G145" s="616"/>
      <c r="H145" s="616"/>
      <c r="I145" s="616"/>
      <c r="J145" s="616"/>
      <c r="K145" s="616"/>
      <c r="L145" s="616"/>
      <c r="M145" s="616"/>
      <c r="N145" s="481"/>
      <c r="Y145" s="495"/>
      <c r="AA145" s="427"/>
      <c r="AC145" s="474"/>
    </row>
    <row r="146" spans="1:29" ht="109.5" customHeight="1"/>
    <row r="156" spans="1:29" hidden="1">
      <c r="O156" s="489"/>
      <c r="P156" s="386"/>
    </row>
    <row r="163" spans="9:9" hidden="1">
      <c r="I163" s="387"/>
    </row>
    <row r="178" spans="1:35" hidden="1">
      <c r="D178" s="350" t="b">
        <f>+IF(OR((AM23&gt;0),AND(D180=0,D183=0)),FALSE,TRUE)</f>
        <v>0</v>
      </c>
    </row>
    <row r="179" spans="1:35" hidden="1">
      <c r="D179" s="441"/>
      <c r="O179" s="489"/>
      <c r="P179" s="386"/>
    </row>
    <row r="180" spans="1:35" hidden="1">
      <c r="D180" s="441">
        <f>+COUNTIF(D191:D252,End)</f>
        <v>0</v>
      </c>
      <c r="O180" s="489"/>
      <c r="P180" s="386"/>
    </row>
    <row r="181" spans="1:35" s="388" customFormat="1" hidden="1">
      <c r="A181" s="421"/>
      <c r="L181" s="389"/>
      <c r="N181" s="396" t="s">
        <v>55</v>
      </c>
      <c r="O181" s="490" t="e">
        <f>IF(#REF!="",0,+VLOOKUP(#REF!,N182:O184,2,FALSE))</f>
        <v>#REF!</v>
      </c>
      <c r="P181" s="391"/>
      <c r="Y181" s="496"/>
      <c r="AA181" s="392"/>
      <c r="AC181" s="393"/>
    </row>
    <row r="182" spans="1:35" s="388" customFormat="1" hidden="1">
      <c r="A182" s="421"/>
      <c r="C182" s="393" t="s">
        <v>56</v>
      </c>
      <c r="D182" s="393" t="s">
        <v>57</v>
      </c>
      <c r="E182" s="388" t="s">
        <v>58</v>
      </c>
      <c r="F182" s="394"/>
      <c r="L182" s="389"/>
      <c r="N182" s="482" t="str">
        <f>+Trads!$A$348</f>
        <v>Terminali</v>
      </c>
      <c r="O182" s="490">
        <f>+E183*2</f>
        <v>2</v>
      </c>
      <c r="Y182" s="496"/>
      <c r="AA182" s="392"/>
      <c r="AC182" s="393"/>
    </row>
    <row r="183" spans="1:35" s="388" customFormat="1" hidden="1">
      <c r="A183" s="421"/>
      <c r="C183" s="395">
        <v>1</v>
      </c>
      <c r="D183" s="393">
        <f>+COUNTIF(D191:D252,Loop)</f>
        <v>0</v>
      </c>
      <c r="E183" s="396">
        <f>+C183-D183</f>
        <v>1</v>
      </c>
      <c r="F183" s="394"/>
      <c r="L183" s="389"/>
      <c r="N183" s="482" t="str">
        <f>+Trads!$A$349</f>
        <v>Tutti i supporti</v>
      </c>
      <c r="O183" s="490">
        <f>+C187+T189+N190+P190</f>
        <v>0</v>
      </c>
      <c r="Y183" s="496"/>
      <c r="AA183" s="392"/>
      <c r="AC183" s="393"/>
    </row>
    <row r="184" spans="1:35" s="388" customFormat="1" hidden="1">
      <c r="A184" s="421"/>
      <c r="L184" s="389"/>
      <c r="N184" s="482" t="str">
        <f>+Trads!$A$350</f>
        <v>n. supporti</v>
      </c>
      <c r="O184" s="490"/>
      <c r="S184" s="397" t="s">
        <v>59</v>
      </c>
      <c r="T184" s="398">
        <f>+COUNTIF(V191:V252,"int")</f>
        <v>0</v>
      </c>
      <c r="Y184" s="496"/>
      <c r="AA184" s="392"/>
      <c r="AC184" s="393"/>
    </row>
    <row r="185" spans="1:35" s="388" customFormat="1" hidden="1">
      <c r="A185" s="421"/>
      <c r="L185" s="389"/>
      <c r="M185" s="388" t="str">
        <f>IF(D192=Loop,ABS(180-ABS(L192-F191)),IF(AND(H191=H192,I191=I192),"",ABS(180-ABS(F192-F191))))</f>
        <v/>
      </c>
      <c r="S185" s="397" t="s">
        <v>41</v>
      </c>
      <c r="T185" s="398">
        <f>+COUNTIF(V191:V252,"ang")-1</f>
        <v>-1</v>
      </c>
      <c r="Y185" s="496"/>
      <c r="AA185" s="392"/>
      <c r="AC185" s="393"/>
    </row>
    <row r="186" spans="1:35" s="388" customFormat="1" ht="13.5" hidden="1" thickBot="1">
      <c r="A186" s="421"/>
      <c r="C186" s="601" t="s">
        <v>60</v>
      </c>
      <c r="D186" s="601"/>
      <c r="E186" s="258"/>
      <c r="F186" s="258"/>
      <c r="G186" s="258"/>
      <c r="H186" s="258"/>
      <c r="I186" s="258"/>
      <c r="J186" s="258"/>
      <c r="L186" s="389"/>
      <c r="M186" s="388" t="str">
        <f>IF(D193=Loop,ABS(180-ABS(L193-F192)),IF(AND(H192=H193,I192=I193),"",ABS(180-ABS(F193-F192))))</f>
        <v/>
      </c>
      <c r="N186" s="483" t="s">
        <v>61</v>
      </c>
      <c r="O186" s="491">
        <f>+N190+P190</f>
        <v>0</v>
      </c>
      <c r="Q186" s="259"/>
      <c r="R186" s="259"/>
      <c r="Y186" s="496"/>
      <c r="AA186" s="392"/>
      <c r="AC186" s="393"/>
    </row>
    <row r="187" spans="1:35" s="388" customFormat="1" ht="13.5" hidden="1" thickBot="1">
      <c r="A187" s="421"/>
      <c r="C187" s="260">
        <f>+MAX(C190:C252)</f>
        <v>0</v>
      </c>
      <c r="D187" s="258"/>
      <c r="E187" s="258"/>
      <c r="F187" s="258"/>
      <c r="G187" s="258"/>
      <c r="H187" s="261" t="b">
        <f>+OR(D35="",I35="")</f>
        <v>1</v>
      </c>
      <c r="I187" s="258"/>
      <c r="J187" s="258"/>
      <c r="L187" s="389"/>
      <c r="N187" s="483" t="s">
        <v>62</v>
      </c>
      <c r="O187" s="491">
        <f>+P190</f>
        <v>0</v>
      </c>
      <c r="R187" s="262"/>
      <c r="S187" s="259"/>
      <c r="T187" s="263"/>
      <c r="Y187" s="496"/>
      <c r="AA187" s="392"/>
      <c r="AC187" s="393"/>
    </row>
    <row r="188" spans="1:35" s="388" customFormat="1" ht="13.5" hidden="1" thickBot="1">
      <c r="A188" s="421"/>
      <c r="C188" s="264" t="s">
        <v>63</v>
      </c>
      <c r="D188" s="265"/>
      <c r="E188" s="265"/>
      <c r="F188" s="265"/>
      <c r="G188" s="265"/>
      <c r="H188" s="266"/>
      <c r="I188" s="266"/>
      <c r="J188" s="265"/>
      <c r="K188" s="267"/>
      <c r="L188" s="389"/>
      <c r="N188" s="276" t="s">
        <v>64</v>
      </c>
      <c r="O188" s="491">
        <f>+N190</f>
        <v>0</v>
      </c>
      <c r="Q188" s="265"/>
      <c r="R188" s="399"/>
      <c r="S188" s="269" t="s">
        <v>65</v>
      </c>
      <c r="T188" s="270" t="s">
        <v>66</v>
      </c>
      <c r="U188" s="263"/>
      <c r="Y188" s="608" t="s">
        <v>67</v>
      </c>
      <c r="Z188" s="609"/>
      <c r="AA188" s="392"/>
      <c r="AC188" s="393"/>
    </row>
    <row r="189" spans="1:35" s="388" customFormat="1" hidden="1">
      <c r="A189" s="421"/>
      <c r="C189" s="271" t="s">
        <v>68</v>
      </c>
      <c r="D189" s="268"/>
      <c r="G189" s="272" t="s">
        <v>69</v>
      </c>
      <c r="H189" s="273" t="s">
        <v>39</v>
      </c>
      <c r="I189" s="274" t="s">
        <v>40</v>
      </c>
      <c r="J189" s="275"/>
      <c r="K189" s="268"/>
      <c r="L189" s="400"/>
      <c r="M189" s="401"/>
      <c r="N189" s="484" t="s">
        <v>70</v>
      </c>
      <c r="O189" s="490" t="s">
        <v>71</v>
      </c>
      <c r="P189" s="390" t="s">
        <v>72</v>
      </c>
      <c r="Q189" s="268"/>
      <c r="R189" s="276"/>
      <c r="S189" s="277" t="str">
        <f>+F24</f>
        <v/>
      </c>
      <c r="T189" s="278">
        <f>+SUM(T191:T252)+O190</f>
        <v>0</v>
      </c>
      <c r="U189" s="263"/>
      <c r="X189" s="402" t="s">
        <v>73</v>
      </c>
      <c r="Y189" s="497" t="s">
        <v>74</v>
      </c>
      <c r="Z189" s="402" t="s">
        <v>75</v>
      </c>
      <c r="AA189" s="403" t="s">
        <v>76</v>
      </c>
      <c r="AB189" s="404" t="s">
        <v>77</v>
      </c>
      <c r="AC189" s="475" t="s">
        <v>78</v>
      </c>
      <c r="AF189" s="507" t="s">
        <v>79</v>
      </c>
      <c r="AG189" s="507" t="s">
        <v>80</v>
      </c>
      <c r="AH189" s="507" t="s">
        <v>81</v>
      </c>
      <c r="AI189" s="507" t="s">
        <v>42</v>
      </c>
    </row>
    <row r="190" spans="1:35" s="388" customFormat="1" ht="13.5" hidden="1" thickBot="1">
      <c r="A190" s="421"/>
      <c r="C190" s="279" t="str">
        <f>+C35</f>
        <v/>
      </c>
      <c r="D190" s="280" t="s">
        <v>82</v>
      </c>
      <c r="E190" s="280" t="s">
        <v>83</v>
      </c>
      <c r="F190" s="280" t="s">
        <v>84</v>
      </c>
      <c r="G190" s="281">
        <f>+IF(D190=Loop,SQRT((H190-H189)^2+(I190-I189)^2),0)</f>
        <v>0</v>
      </c>
      <c r="H190" s="282">
        <f>+IF($H$187=TRUE,0,E31)</f>
        <v>0</v>
      </c>
      <c r="I190" s="283">
        <f>+IF($H$187=TRUE,0,E32)</f>
        <v>0</v>
      </c>
      <c r="J190" s="284" t="s">
        <v>85</v>
      </c>
      <c r="K190" s="280" t="s">
        <v>86</v>
      </c>
      <c r="L190" s="405" t="s">
        <v>87</v>
      </c>
      <c r="M190" s="401" t="s">
        <v>42</v>
      </c>
      <c r="N190" s="485">
        <f>+COUNTIF(N191:N252,90)</f>
        <v>0</v>
      </c>
      <c r="O190" s="490">
        <f>+COUNTIF(O191:O252,"INT")</f>
        <v>0</v>
      </c>
      <c r="P190" s="406">
        <f>+COUNTIF(P191:P252,1)</f>
        <v>0</v>
      </c>
      <c r="Q190" s="606" t="s">
        <v>88</v>
      </c>
      <c r="R190" s="606"/>
      <c r="S190" s="269" t="s">
        <v>89</v>
      </c>
      <c r="T190" s="285" t="s">
        <v>90</v>
      </c>
      <c r="U190" s="285" t="s">
        <v>91</v>
      </c>
      <c r="W190" s="402" t="s">
        <v>92</v>
      </c>
      <c r="X190" s="402" t="s">
        <v>3</v>
      </c>
      <c r="Y190" s="497" t="s">
        <v>3</v>
      </c>
      <c r="Z190" s="402" t="s">
        <v>3</v>
      </c>
      <c r="AA190" s="403" t="s">
        <v>3</v>
      </c>
      <c r="AB190" s="407" t="s">
        <v>3</v>
      </c>
      <c r="AC190" s="475" t="s">
        <v>3</v>
      </c>
      <c r="AF190" s="507" t="s">
        <v>93</v>
      </c>
      <c r="AG190" s="507" t="s">
        <v>93</v>
      </c>
      <c r="AH190" s="507"/>
      <c r="AI190" s="507" t="s">
        <v>94</v>
      </c>
    </row>
    <row r="191" spans="1:35" s="388" customFormat="1" hidden="1">
      <c r="A191" s="421"/>
      <c r="B191" s="478" t="str">
        <f>IF(C190="","",_xlfn.CONCAT(C190,", ",F11))</f>
        <v/>
      </c>
      <c r="C191" s="286" t="str">
        <f>IF(OR(D36=End,D36=Loop),F35,C36)</f>
        <v/>
      </c>
      <c r="D191" s="287" t="str">
        <f t="shared" ref="D191:D222" si="23">IF(D35="","",D35)</f>
        <v/>
      </c>
      <c r="E191" s="288">
        <f t="shared" ref="E191" si="24">+I35</f>
        <v>0</v>
      </c>
      <c r="F191" s="287">
        <f>IF(OR(D191=End,D191=Loop,D191=""),0,IF(D191&lt;&gt;Angle,VLOOKUP(D191,Angoli,2,FALSE),G35))</f>
        <v>0</v>
      </c>
      <c r="G191" s="288">
        <f>+IF(D191=Loop,SQRT((H191-$H$190)^2+(I191-$I$190)^2),0)</f>
        <v>0</v>
      </c>
      <c r="H191" s="288" cm="1">
        <f t="array" ref="H191">_xlfn.IFS($D191=Angle,(E191*J191)+H190,$D191=Loop,$H$190,OR($D191="",$D191=End),H190,OR($D191=Dx,$D191=sx,$D191=up,$D191=down),(E191*J191)+H190)</f>
        <v>0</v>
      </c>
      <c r="I191" s="288" cm="1">
        <f t="array" ref="I191">_xlfn.IFS($D191=Angle,(E191*K191)+I190,$D191=Loop,$I$190,OR($D191="",$D191=End),I190,OR($D191=Dx,$D191=sx,$D191=up,$D191=down),(E191*K191)+I190)</f>
        <v>0</v>
      </c>
      <c r="J191" s="289">
        <f t="shared" ref="J191:J222" si="25">+COS(RADIANS(F191))</f>
        <v>1</v>
      </c>
      <c r="K191" s="289">
        <f t="shared" ref="K191:K222" si="26">SIN(RADIANS(F191))</f>
        <v>0</v>
      </c>
      <c r="L191" s="504">
        <f>AI191</f>
        <v>0</v>
      </c>
      <c r="M191" s="504" t="str">
        <f>IF(D192=Loop,ABS(180-ABS(L192-F191)),IF(AND(H191=H192,I191=I192),"",ABS(180-ABS(F192-F191))))</f>
        <v/>
      </c>
      <c r="N191" s="486" t="str">
        <f t="shared" ref="N191:N251" si="27">IF(M191="","",+IF(OR(AND(M191&gt;=80,M191&lt;=105),AND(M191&gt;=265,M191&lt;=280)),"90",FALSE))</f>
        <v/>
      </c>
      <c r="O191" s="408" t="str">
        <f>IF(M191="","",+IF(OR(AND(M191&gt;=165,M191&lt;=195),AND(M191&gt;=345,M191&lt;=15)),"INT",FALSE))</f>
        <v/>
      </c>
      <c r="P191" s="487" t="str">
        <f>IF(M191="","",IF(M191="","",+IF(AND(N191=FALSE,O191=FALSE),1,0)))</f>
        <v/>
      </c>
      <c r="Q191" s="607">
        <f t="shared" ref="Q191:Q222" si="28">+IF(OR(E191=0,E191=""),0,IF(MOD(E191,$S$189),_xlfn.FLOOR.MATH(E191/$S$189),_xlfn.FLOOR.MATH(E191/$S$189)-1))</f>
        <v>0</v>
      </c>
      <c r="R191" s="607"/>
      <c r="S191" s="277" cm="1">
        <f t="array" ref="S191">+IF(G191=0,0,IF(MOD(G191,SpanTow),_xlfn.FLOOR.MATH(G191/SpanTow),_xlfn.FLOOR.MATH(G191/SpanTow)-1))</f>
        <v>0</v>
      </c>
      <c r="T191" s="290">
        <f t="shared" ref="T191:T200" si="29">+MAX(Q191:S191)</f>
        <v>0</v>
      </c>
      <c r="U191" s="505">
        <f>IF(C191="",0,IF(AND(E191=0,G191=0),0,IF(E191&lt;&gt;0,E191/(T191+1),G191/(T191+1))))</f>
        <v>0</v>
      </c>
      <c r="V191" s="409"/>
      <c r="W191" s="388" t="b">
        <f>IF(D192="",FALSE,IF(OR(AND(H191-H190=0,H192-H191=0),AND(I191-I190=0,I192-I191=0)),FALSE,TRUE))</f>
        <v>0</v>
      </c>
      <c r="X191" s="506" t="b">
        <f t="shared" ref="X191:X222" si="30">IF(OR(D191=Loop,D191="Fine",AND(D191="",D192="")),FALSE,_xlfn.FORECAST.LINEAR(ProjSpan,FxDb,SpanDB))</f>
        <v>0</v>
      </c>
      <c r="Y191" s="498" t="b">
        <f>IF(X191=FALSE,FALSE,ABS(X191*(COS(RADIANS(F192))-COS(RADIANS(F191)))))</f>
        <v>0</v>
      </c>
      <c r="Z191" s="410" t="b">
        <f>IF(X191=FALSE,FALSE,ABS(X191*(SIN(RADIANS(F192))-SIN(RADIANS(F191)))))</f>
        <v>0</v>
      </c>
      <c r="AA191" s="392" t="b">
        <f>IF(OR(D192="",AND(D191="",D192="")),FALSE,IF(D192="",X191,IF(SQRT(Y191^2+Z191^2)&gt;X191*SQRT(2),X191*SQRT(2),SQRT(Y191^2+Z191^2))))</f>
        <v>0</v>
      </c>
      <c r="AB191" s="410" t="b">
        <f>IF(AA191=FALSE,FALSE,IF(SQRT(Y191^2+Z191^2)&gt;X191*SQRT(2),X191,Y191))</f>
        <v>0</v>
      </c>
      <c r="AC191" s="408" t="b">
        <f>IF(AA191=FALSE,FALSE,IF(SQRT(Y191^2+Z191^2)&gt;X191*SQRT(2),X191,Z191))</f>
        <v>0</v>
      </c>
      <c r="AF191" s="506">
        <f>H191-H190</f>
        <v>0</v>
      </c>
      <c r="AG191" s="506">
        <f>I191-I190</f>
        <v>0</v>
      </c>
      <c r="AH191" s="507">
        <f t="shared" ref="AH191:AH197" si="31">IFERROR(IF(AND(AF191=0,AG191&gt;0),90,IF(AND(AF191=0,AG191&lt;0),270,IF(AND(AF191&gt;0,AG191=0),0,IF(AND(AF191&lt;0,AG191=0),180,DEGREES(ATAN((AG191)/(AF191))))))),0)</f>
        <v>0</v>
      </c>
      <c r="AI191" s="507">
        <f>IF(OR(AF191=0,AG191=0),AH191,IF(AND(AF191&gt;=0,AG191&gt;=0),AH191,IF(AND(AF191&gt;0,AG191&lt;0),360+AH191,IF(AND(AF191&lt;0,AG191&lt;0),180+AH191,IF(AND(AF191&lt;0,AG191&gt;0),180-AH191,FALSE)))))</f>
        <v>0</v>
      </c>
    </row>
    <row r="192" spans="1:35" s="388" customFormat="1" hidden="1">
      <c r="A192" s="421"/>
      <c r="B192" s="478" t="str" cm="1">
        <f t="array" ref="B192">_xlfn.IFS(C191="","",C191="","",AND(D192&lt;&gt;End,D191&lt;&gt;Loop),C191,D192=End,_xlfn.CONCAT(C191,", "&amp;$F$11),D191=Loop,_xlfn.CONCAT($F$11&amp;" x2,1"))</f>
        <v/>
      </c>
      <c r="C192" s="286" t="str">
        <f t="shared" ref="C192:C223" si="32">IF(OR(D36=End,D36=Loop),F36,C37)</f>
        <v/>
      </c>
      <c r="D192" s="292" t="str">
        <f t="shared" si="23"/>
        <v/>
      </c>
      <c r="E192" s="501">
        <f t="shared" ref="E192:E223" si="33">IF(D191=Loop,$E$191,+I36)</f>
        <v>0</v>
      </c>
      <c r="F192" s="502">
        <f t="shared" ref="F192:F223" si="34">IF(D191=Loop,$F$191,IF(OR(D192=End,D192=Loop,D192=""),0,IF(D192&lt;&gt;Angle,VLOOKUP(D192,Angoli,2,FALSE),G36)))</f>
        <v>0</v>
      </c>
      <c r="G192" s="501">
        <f t="shared" ref="G192:G223" si="35">IF(D191=Loop,$G$191,+IF(D192=Loop,SQRT((H192-H191)^2+(I192-I191)^2),0))</f>
        <v>0</v>
      </c>
      <c r="H192" s="503" cm="1">
        <f t="array" ref="H192">IF(D191=Loop,$H$191,_xlfn.IFS($D192=Angle,(E192*J192)+H191,$D192=Loop,$H$190,OR($D192="",$D192=End),H191,OR($D192=Dx,$D192=sx,$D192=up,$D192=down),(E192*J192)+H191))</f>
        <v>0</v>
      </c>
      <c r="I192" s="503" cm="1">
        <f t="array" ref="I192">IF(D191=Loop,$I$191,_xlfn.IFS($D192=Angle,(E192*K192)+I191,$D192=Loop,$I$190,OR($D192="",$D192=End),I191,OR($D192=Dx,$D192=sx,$D192=up,$D192=down),(E192*K192)+I191))</f>
        <v>0</v>
      </c>
      <c r="J192" s="294">
        <f t="shared" si="25"/>
        <v>1</v>
      </c>
      <c r="K192" s="294">
        <f t="shared" si="26"/>
        <v>0</v>
      </c>
      <c r="L192" s="408">
        <f t="shared" ref="L192:L253" si="36">AI192</f>
        <v>0</v>
      </c>
      <c r="M192" s="408" t="str">
        <f t="shared" ref="M192:M223" si="37">IF(D192=Loop,ABS(180-ABS(F193-L192)),IF(D193=Loop,(ABS(180-(L193-F192))),IF(AND(H192=H193,I192=I193),"",ABS(180-ABS(F193-F192)))))</f>
        <v/>
      </c>
      <c r="N192" s="486" t="str">
        <f t="shared" si="27"/>
        <v/>
      </c>
      <c r="O192" s="408" t="str">
        <f t="shared" ref="O192:O251" si="38">IF(M192="","",+IF(OR(AND(M192&gt;=165,M192&lt;=195),AND(M192&gt;=345,M192&lt;=15)),"INT",FALSE))</f>
        <v/>
      </c>
      <c r="P192" s="487" t="str">
        <f t="shared" ref="P192:P251" si="39">IF(M192="","",IF(M192="","",+IF(AND(N192=FALSE,O192=FALSE),1,0)))</f>
        <v/>
      </c>
      <c r="Q192" s="569">
        <f t="shared" si="28"/>
        <v>0</v>
      </c>
      <c r="R192" s="569"/>
      <c r="S192" s="277" cm="1">
        <f t="array" ref="S192">+IF(G192=0,0,IF(MOD(G192,SpanTow),_xlfn.FLOOR.MATH(G192/SpanTow),_xlfn.FLOOR.MATH(G192/SpanTow)-1))</f>
        <v>0</v>
      </c>
      <c r="T192" s="290">
        <f t="shared" si="29"/>
        <v>0</v>
      </c>
      <c r="U192" s="291">
        <f t="shared" ref="U192:U253" si="40">IF(C192="",0,IF(AND(E192=0,G192=0),0,IF(E192&lt;&gt;0,E192/(T192+1),G192/(T192+1))))</f>
        <v>0</v>
      </c>
      <c r="V192" s="409"/>
      <c r="W192" s="388" t="b">
        <f t="shared" ref="W192:W253" si="41">IF(D193="",FALSE,IF(OR(AND(H192-H191=0,H193-H192=0),AND(I192-I191=0,I193-I192=0)),FALSE,TRUE))</f>
        <v>0</v>
      </c>
      <c r="X192" s="410" t="b">
        <f t="shared" si="30"/>
        <v>0</v>
      </c>
      <c r="Y192" s="498" t="b">
        <f t="shared" ref="Y192:Y253" si="42">IF(X192=FALSE,FALSE,ABS(X192*(COS(RADIANS(F193))-COS(RADIANS(F192)))))</f>
        <v>0</v>
      </c>
      <c r="Z192" s="410" t="b">
        <f t="shared" ref="Z192:Z253" si="43">IF(X192=FALSE,FALSE,ABS(X192*(SIN(RADIANS(F193))-SIN(RADIANS(F192)))))</f>
        <v>0</v>
      </c>
      <c r="AA192" s="392" t="b">
        <f t="shared" ref="AA192:AA253" si="44">IF(AND(D192="",D193=""),FALSE,IF(D193="",X192,IF(SQRT(Y192^2+Z192^2)&gt;X192*SQRT(2),X192*SQRT(2),SQRT(Y192^2+Z192^2))))</f>
        <v>0</v>
      </c>
      <c r="AB192" s="410" t="b">
        <f t="shared" ref="AB192:AB253" si="45">IF(AA192=FALSE,FALSE,IF(SQRT(Y192^2+Z192^2)&gt;X192*SQRT(2),X192,Y192))</f>
        <v>0</v>
      </c>
      <c r="AC192" s="408" t="b">
        <f t="shared" ref="AC192:AC253" si="46">IF(AA192=FALSE,FALSE,IF(SQRT(Y192^2+Z192^2)&gt;X192*SQRT(2),X192,Z192))</f>
        <v>0</v>
      </c>
      <c r="AF192" s="410">
        <f t="shared" ref="AF192:AG192" si="47">H192-H191</f>
        <v>0</v>
      </c>
      <c r="AG192" s="410">
        <f t="shared" si="47"/>
        <v>0</v>
      </c>
      <c r="AH192" s="507">
        <f t="shared" si="31"/>
        <v>0</v>
      </c>
      <c r="AI192" s="507">
        <f t="shared" ref="AI192:AI253" si="48">IF(OR(AF192=0,AG192=0),AH192,IF(AND(AF192&gt;=0,AG192&gt;=0),AH192,IF(AND(AF192&gt;0,AG192&lt;0),360+AH192,IF(AND(AF192&lt;0,AG192&lt;0),180+AH192,IF(AND(AF192&lt;0,AG192&gt;0),180-AH192,FALSE)))))</f>
        <v>0</v>
      </c>
    </row>
    <row r="193" spans="1:35" s="388" customFormat="1" hidden="1">
      <c r="A193" s="421"/>
      <c r="B193" s="478" t="str" cm="1">
        <f t="array" ref="B193">_xlfn.IFS(C192="","",C192="","",AND(D193&lt;&gt;End,D192&lt;&gt;Loop),C192,D193=End,_xlfn.CONCAT(C192,", "&amp;$F$11),D192=Loop,_xlfn.CONCAT($F$11&amp;" x2,1"))</f>
        <v/>
      </c>
      <c r="C193" s="286" t="str">
        <f t="shared" si="32"/>
        <v/>
      </c>
      <c r="D193" s="292" t="str">
        <f t="shared" si="23"/>
        <v/>
      </c>
      <c r="E193" s="293">
        <f t="shared" si="33"/>
        <v>0</v>
      </c>
      <c r="F193" s="287">
        <f t="shared" si="34"/>
        <v>0</v>
      </c>
      <c r="G193" s="293">
        <f t="shared" si="35"/>
        <v>0</v>
      </c>
      <c r="H193" s="288" cm="1">
        <f t="array" ref="H193">IF(D192=Loop,$H$191,_xlfn.IFS($D193=Angle,(E193*J193)+H192,$D193=Loop,$H$190,OR($D193="",$D193=End),H192,OR($D193=Dx,$D193=sx,$D193=up,$D193=down),(E193*J193)+H192))</f>
        <v>0</v>
      </c>
      <c r="I193" s="288" cm="1">
        <f t="array" ref="I193">IF(D192=Loop,$I$191,_xlfn.IFS($D193=Angle,(E193*K193)+I192,$D193=Loop,$I$190,OR($D193="",$D193=End),I192,OR($D193=Dx,$D193=sx,$D193=up,$D193=down),(E193*K193)+I192))</f>
        <v>0</v>
      </c>
      <c r="J193" s="294">
        <f t="shared" si="25"/>
        <v>1</v>
      </c>
      <c r="K193" s="294">
        <f t="shared" si="26"/>
        <v>0</v>
      </c>
      <c r="L193" s="408">
        <f t="shared" si="36"/>
        <v>0</v>
      </c>
      <c r="M193" s="408" t="str">
        <f>IF(D193=Loop,ABS(180-ABS(F194-L193)),IF(D194=Loop,(ABS(180-(L194-F193))),IF(AND(H193=H194,I193=I194),"",ABS(180-ABS(F194-F193)))))</f>
        <v/>
      </c>
      <c r="N193" s="486" t="str">
        <f t="shared" si="27"/>
        <v/>
      </c>
      <c r="O193" s="408" t="str">
        <f t="shared" si="38"/>
        <v/>
      </c>
      <c r="P193" s="487" t="str">
        <f t="shared" si="39"/>
        <v/>
      </c>
      <c r="Q193" s="569">
        <f t="shared" si="28"/>
        <v>0</v>
      </c>
      <c r="R193" s="569"/>
      <c r="S193" s="277" cm="1">
        <f t="array" ref="S193">+IF(G193=0,0,IF(MOD(G193,SpanTow),_xlfn.FLOOR.MATH(G193/SpanTow),_xlfn.FLOOR.MATH(G193/SpanTow)-1))</f>
        <v>0</v>
      </c>
      <c r="T193" s="290">
        <f t="shared" si="29"/>
        <v>0</v>
      </c>
      <c r="U193" s="291">
        <f t="shared" si="40"/>
        <v>0</v>
      </c>
      <c r="V193" s="409"/>
      <c r="W193" s="388" t="b">
        <f t="shared" si="41"/>
        <v>0</v>
      </c>
      <c r="X193" s="410" t="b">
        <f t="shared" si="30"/>
        <v>0</v>
      </c>
      <c r="Y193" s="498" t="b">
        <f t="shared" si="42"/>
        <v>0</v>
      </c>
      <c r="Z193" s="410" t="b">
        <f t="shared" si="43"/>
        <v>0</v>
      </c>
      <c r="AA193" s="392" t="b">
        <f t="shared" si="44"/>
        <v>0</v>
      </c>
      <c r="AB193" s="410" t="b">
        <f t="shared" si="45"/>
        <v>0</v>
      </c>
      <c r="AC193" s="408" t="b">
        <f t="shared" si="46"/>
        <v>0</v>
      </c>
      <c r="AF193" s="410">
        <f t="shared" ref="AF193:AF253" si="49">H193-H192</f>
        <v>0</v>
      </c>
      <c r="AG193" s="410">
        <f t="shared" ref="AG193:AG253" si="50">I193-I192</f>
        <v>0</v>
      </c>
      <c r="AH193" s="507">
        <f t="shared" si="31"/>
        <v>0</v>
      </c>
      <c r="AI193" s="507">
        <f t="shared" si="48"/>
        <v>0</v>
      </c>
    </row>
    <row r="194" spans="1:35" s="388" customFormat="1" hidden="1">
      <c r="A194" s="421"/>
      <c r="B194" s="478" t="str" cm="1">
        <f t="array" ref="B194">_xlfn.IFS(C193="","",C193="","",AND(D194&lt;&gt;End,D193&lt;&gt;Loop),C193,D194=End,_xlfn.CONCAT(C193,", "&amp;$F$11),D193=Loop,_xlfn.CONCAT($F$11&amp;" x2,1"))</f>
        <v/>
      </c>
      <c r="C194" s="286" t="str">
        <f t="shared" si="32"/>
        <v/>
      </c>
      <c r="D194" s="292" t="str">
        <f t="shared" si="23"/>
        <v/>
      </c>
      <c r="E194" s="293">
        <f t="shared" si="33"/>
        <v>0</v>
      </c>
      <c r="F194" s="287">
        <f t="shared" si="34"/>
        <v>0</v>
      </c>
      <c r="G194" s="293">
        <f t="shared" si="35"/>
        <v>0</v>
      </c>
      <c r="H194" s="288" cm="1">
        <f t="array" ref="H194">IF(D193=Loop,$H$191,_xlfn.IFS($D194=Angle,(E194*J194)+H193,$D194=Loop,$H$190,OR($D194="",$D194=End),H193,OR($D194=Dx,$D194=sx,$D194=up,$D194=down),(E194*J194)+H193))</f>
        <v>0</v>
      </c>
      <c r="I194" s="288" cm="1">
        <f t="array" ref="I194">IF(D193=Loop,$I$191,_xlfn.IFS($D194=Angle,(E194*K194)+I193,$D194=Loop,$I$190,OR($D194="",$D194=End),I193,OR($D194=Dx,$D194=sx,$D194=up,$D194=down),(E194*K194)+I193))</f>
        <v>0</v>
      </c>
      <c r="J194" s="294">
        <f t="shared" si="25"/>
        <v>1</v>
      </c>
      <c r="K194" s="294">
        <f t="shared" si="26"/>
        <v>0</v>
      </c>
      <c r="L194" s="408">
        <f t="shared" si="36"/>
        <v>0</v>
      </c>
      <c r="M194" s="408" t="str">
        <f>IF(D194=Loop,ABS(180-ABS(F195-L194)),IF(D195=Loop,(ABS(180-(L195-F194))),IF(AND(H194=H195,I194=I195),"",ABS(180-ABS(F195-F194)))))</f>
        <v/>
      </c>
      <c r="N194" s="486" t="str">
        <f t="shared" si="27"/>
        <v/>
      </c>
      <c r="O194" s="408" t="str">
        <f t="shared" si="38"/>
        <v/>
      </c>
      <c r="P194" s="487" t="str">
        <f t="shared" si="39"/>
        <v/>
      </c>
      <c r="Q194" s="569">
        <f t="shared" si="28"/>
        <v>0</v>
      </c>
      <c r="R194" s="569"/>
      <c r="S194" s="277" cm="1">
        <f t="array" ref="S194">+IF(G194=0,0,IF(MOD(G194,SpanTow),_xlfn.FLOOR.MATH(G194/SpanTow),_xlfn.FLOOR.MATH(G194/SpanTow)-1))</f>
        <v>0</v>
      </c>
      <c r="T194" s="290">
        <f t="shared" si="29"/>
        <v>0</v>
      </c>
      <c r="U194" s="291">
        <f t="shared" si="40"/>
        <v>0</v>
      </c>
      <c r="V194" s="409"/>
      <c r="W194" s="388" t="b">
        <f t="shared" si="41"/>
        <v>0</v>
      </c>
      <c r="X194" s="410" t="b">
        <f t="shared" si="30"/>
        <v>0</v>
      </c>
      <c r="Y194" s="498" t="b">
        <f t="shared" si="42"/>
        <v>0</v>
      </c>
      <c r="Z194" s="410" t="b">
        <f t="shared" si="43"/>
        <v>0</v>
      </c>
      <c r="AA194" s="392" t="b">
        <f t="shared" si="44"/>
        <v>0</v>
      </c>
      <c r="AB194" s="410" t="b">
        <f t="shared" si="45"/>
        <v>0</v>
      </c>
      <c r="AC194" s="408" t="b">
        <f t="shared" si="46"/>
        <v>0</v>
      </c>
      <c r="AF194" s="410">
        <f t="shared" si="49"/>
        <v>0</v>
      </c>
      <c r="AG194" s="410">
        <f t="shared" si="50"/>
        <v>0</v>
      </c>
      <c r="AH194" s="507">
        <f t="shared" si="31"/>
        <v>0</v>
      </c>
      <c r="AI194" s="507">
        <f t="shared" si="48"/>
        <v>0</v>
      </c>
    </row>
    <row r="195" spans="1:35" s="388" customFormat="1" hidden="1">
      <c r="A195" s="421"/>
      <c r="B195" s="478" t="str" cm="1">
        <f t="array" ref="B195">_xlfn.IFS(C194="","",C194="","",AND(D195&lt;&gt;End,D194&lt;&gt;Loop),C194,D195=End,_xlfn.CONCAT(C194,", "&amp;$F$11),D194=Loop,_xlfn.CONCAT($F$11&amp;" x2,1"))</f>
        <v/>
      </c>
      <c r="C195" s="286" t="str">
        <f t="shared" si="32"/>
        <v/>
      </c>
      <c r="D195" s="292" t="str">
        <f t="shared" si="23"/>
        <v/>
      </c>
      <c r="E195" s="293">
        <f t="shared" si="33"/>
        <v>0</v>
      </c>
      <c r="F195" s="287">
        <f t="shared" si="34"/>
        <v>0</v>
      </c>
      <c r="G195" s="293">
        <f t="shared" si="35"/>
        <v>0</v>
      </c>
      <c r="H195" s="288" cm="1">
        <f t="array" ref="H195">IF(D194=Loop,$H$191,_xlfn.IFS($D195=Angle,(E195*J195)+H194,$D195=Loop,$H$190,OR($D195="",$D195=End),H194,OR($D195=Dx,$D195=sx,$D195=up,$D195=down),(E195*J195)+H194))</f>
        <v>0</v>
      </c>
      <c r="I195" s="288" cm="1">
        <f t="array" ref="I195">IF(D194=Loop,$I$191,_xlfn.IFS($D195=Angle,(E195*K195)+I194,$D195=Loop,$I$190,OR($D195="",$D195=End),I194,OR($D195=Dx,$D195=sx,$D195=up,$D195=down),(E195*K195)+I194))</f>
        <v>0</v>
      </c>
      <c r="J195" s="294">
        <f t="shared" si="25"/>
        <v>1</v>
      </c>
      <c r="K195" s="294">
        <f t="shared" si="26"/>
        <v>0</v>
      </c>
      <c r="L195" s="408">
        <f t="shared" si="36"/>
        <v>0</v>
      </c>
      <c r="M195" s="408" t="str">
        <f t="shared" si="37"/>
        <v/>
      </c>
      <c r="N195" s="486" t="str">
        <f t="shared" si="27"/>
        <v/>
      </c>
      <c r="O195" s="408" t="str">
        <f t="shared" si="38"/>
        <v/>
      </c>
      <c r="P195" s="487" t="str">
        <f t="shared" si="39"/>
        <v/>
      </c>
      <c r="Q195" s="569">
        <f t="shared" si="28"/>
        <v>0</v>
      </c>
      <c r="R195" s="569"/>
      <c r="S195" s="277" cm="1">
        <f t="array" ref="S195">+IF(G195=0,0,IF(MOD(G195,SpanTow),_xlfn.FLOOR.MATH(G195/SpanTow),_xlfn.FLOOR.MATH(G195/SpanTow)-1))</f>
        <v>0</v>
      </c>
      <c r="T195" s="290">
        <f t="shared" si="29"/>
        <v>0</v>
      </c>
      <c r="U195" s="291">
        <f t="shared" si="40"/>
        <v>0</v>
      </c>
      <c r="V195" s="409"/>
      <c r="W195" s="388" t="b">
        <f t="shared" si="41"/>
        <v>0</v>
      </c>
      <c r="X195" s="410" t="b">
        <f t="shared" si="30"/>
        <v>0</v>
      </c>
      <c r="Y195" s="498" t="b">
        <f t="shared" si="42"/>
        <v>0</v>
      </c>
      <c r="Z195" s="410" t="b">
        <f t="shared" si="43"/>
        <v>0</v>
      </c>
      <c r="AA195" s="392" t="b">
        <f t="shared" si="44"/>
        <v>0</v>
      </c>
      <c r="AB195" s="410" t="b">
        <f t="shared" si="45"/>
        <v>0</v>
      </c>
      <c r="AC195" s="408" t="b">
        <f t="shared" si="46"/>
        <v>0</v>
      </c>
      <c r="AF195" s="410">
        <f t="shared" si="49"/>
        <v>0</v>
      </c>
      <c r="AG195" s="410">
        <f t="shared" si="50"/>
        <v>0</v>
      </c>
      <c r="AH195" s="507">
        <f t="shared" si="31"/>
        <v>0</v>
      </c>
      <c r="AI195" s="507">
        <f t="shared" si="48"/>
        <v>0</v>
      </c>
    </row>
    <row r="196" spans="1:35" s="388" customFormat="1" hidden="1">
      <c r="A196" s="421"/>
      <c r="B196" s="478" t="str" cm="1">
        <f t="array" ref="B196">_xlfn.IFS(C195="","",C195="","",AND(D196&lt;&gt;End,D195&lt;&gt;Loop),C195,D196=End,_xlfn.CONCAT(C195,", "&amp;$F$11),D195=Loop,_xlfn.CONCAT($F$11&amp;" x2,1"))</f>
        <v/>
      </c>
      <c r="C196" s="286" t="str">
        <f t="shared" si="32"/>
        <v/>
      </c>
      <c r="D196" s="292" t="str">
        <f t="shared" si="23"/>
        <v/>
      </c>
      <c r="E196" s="293">
        <f t="shared" si="33"/>
        <v>0</v>
      </c>
      <c r="F196" s="287">
        <f t="shared" si="34"/>
        <v>0</v>
      </c>
      <c r="G196" s="293">
        <f t="shared" si="35"/>
        <v>0</v>
      </c>
      <c r="H196" s="288" cm="1">
        <f t="array" ref="H196">IF(D195=Loop,$H$191,_xlfn.IFS($D196=Angle,(E196*J196)+H195,$D196=Loop,$H$190,OR($D196="",$D196=End),H195,OR($D196=Dx,$D196=sx,$D196=up,$D196=down),(E196*J196)+H195))</f>
        <v>0</v>
      </c>
      <c r="I196" s="288" cm="1">
        <f t="array" ref="I196">IF(D195=Loop,$I$191,_xlfn.IFS($D196=Angle,(E196*K196)+I195,$D196=Loop,$I$190,OR($D196="",$D196=End),I195,OR($D196=Dx,$D196=sx,$D196=up,$D196=down),(E196*K196)+I195))</f>
        <v>0</v>
      </c>
      <c r="J196" s="294">
        <f t="shared" si="25"/>
        <v>1</v>
      </c>
      <c r="K196" s="294">
        <f t="shared" si="26"/>
        <v>0</v>
      </c>
      <c r="L196" s="408">
        <f t="shared" si="36"/>
        <v>0</v>
      </c>
      <c r="M196" s="408" t="str">
        <f t="shared" si="37"/>
        <v/>
      </c>
      <c r="N196" s="486" t="str">
        <f t="shared" si="27"/>
        <v/>
      </c>
      <c r="O196" s="408" t="str">
        <f t="shared" si="38"/>
        <v/>
      </c>
      <c r="P196" s="487" t="str">
        <f t="shared" si="39"/>
        <v/>
      </c>
      <c r="Q196" s="569">
        <f t="shared" si="28"/>
        <v>0</v>
      </c>
      <c r="R196" s="569"/>
      <c r="S196" s="277" cm="1">
        <f t="array" ref="S196">+IF(G196=0,0,IF(MOD(G196,SpanTow),_xlfn.FLOOR.MATH(G196/SpanTow),_xlfn.FLOOR.MATH(G196/SpanTow)-1))</f>
        <v>0</v>
      </c>
      <c r="T196" s="290">
        <f t="shared" si="29"/>
        <v>0</v>
      </c>
      <c r="U196" s="291">
        <f t="shared" si="40"/>
        <v>0</v>
      </c>
      <c r="V196" s="409"/>
      <c r="W196" s="388" t="b">
        <f t="shared" si="41"/>
        <v>0</v>
      </c>
      <c r="X196" s="410" t="b">
        <f t="shared" si="30"/>
        <v>0</v>
      </c>
      <c r="Y196" s="498" t="b">
        <f t="shared" si="42"/>
        <v>0</v>
      </c>
      <c r="Z196" s="410" t="b">
        <f t="shared" si="43"/>
        <v>0</v>
      </c>
      <c r="AA196" s="392" t="b">
        <f t="shared" si="44"/>
        <v>0</v>
      </c>
      <c r="AB196" s="410" t="b">
        <f t="shared" si="45"/>
        <v>0</v>
      </c>
      <c r="AC196" s="408" t="b">
        <f t="shared" si="46"/>
        <v>0</v>
      </c>
      <c r="AF196" s="410">
        <f t="shared" si="49"/>
        <v>0</v>
      </c>
      <c r="AG196" s="410">
        <f t="shared" si="50"/>
        <v>0</v>
      </c>
      <c r="AH196" s="507">
        <f t="shared" si="31"/>
        <v>0</v>
      </c>
      <c r="AI196" s="507">
        <f t="shared" si="48"/>
        <v>0</v>
      </c>
    </row>
    <row r="197" spans="1:35" s="388" customFormat="1" hidden="1">
      <c r="A197" s="421"/>
      <c r="B197" s="478" t="str" cm="1">
        <f t="array" ref="B197">_xlfn.IFS(C196="","",C196="","",AND(D197&lt;&gt;End,D196&lt;&gt;Loop),C196,D197=End,_xlfn.CONCAT(C196,", "&amp;$F$11),D196=Loop,_xlfn.CONCAT($F$11&amp;" x2,1"))</f>
        <v/>
      </c>
      <c r="C197" s="286" t="str">
        <f t="shared" si="32"/>
        <v/>
      </c>
      <c r="D197" s="292" t="str">
        <f t="shared" si="23"/>
        <v/>
      </c>
      <c r="E197" s="293">
        <f t="shared" si="33"/>
        <v>0</v>
      </c>
      <c r="F197" s="287">
        <f t="shared" si="34"/>
        <v>0</v>
      </c>
      <c r="G197" s="293">
        <f t="shared" si="35"/>
        <v>0</v>
      </c>
      <c r="H197" s="288" cm="1">
        <f t="array" ref="H197">IF(D196=Loop,$H$191,_xlfn.IFS($D197=Angle,(E197*J197)+H196,$D197=Loop,$H$190,OR($D197="",$D197=End),H196,OR($D197=Dx,$D197=sx,$D197=up,$D197=down),(E197*J197)+H196))</f>
        <v>0</v>
      </c>
      <c r="I197" s="288" cm="1">
        <f t="array" ref="I197">IF(D196=Loop,$I$191,_xlfn.IFS($D197=Angle,(E197*K197)+I196,$D197=Loop,$I$190,OR($D197="",$D197=End),I196,OR($D197=Dx,$D197=sx,$D197=up,$D197=down),(E197*K197)+I196))</f>
        <v>0</v>
      </c>
      <c r="J197" s="294">
        <f t="shared" si="25"/>
        <v>1</v>
      </c>
      <c r="K197" s="294">
        <f t="shared" si="26"/>
        <v>0</v>
      </c>
      <c r="L197" s="408">
        <f t="shared" si="36"/>
        <v>0</v>
      </c>
      <c r="M197" s="408" t="str">
        <f t="shared" si="37"/>
        <v/>
      </c>
      <c r="N197" s="486" t="str">
        <f t="shared" si="27"/>
        <v/>
      </c>
      <c r="O197" s="408" t="str">
        <f t="shared" si="38"/>
        <v/>
      </c>
      <c r="P197" s="487" t="str">
        <f t="shared" si="39"/>
        <v/>
      </c>
      <c r="Q197" s="569">
        <f t="shared" si="28"/>
        <v>0</v>
      </c>
      <c r="R197" s="569"/>
      <c r="S197" s="277" cm="1">
        <f t="array" ref="S197">+IF(G197=0,0,IF(MOD(G197,SpanTow),_xlfn.FLOOR.MATH(G197/SpanTow),_xlfn.FLOOR.MATH(G197/SpanTow)-1))</f>
        <v>0</v>
      </c>
      <c r="T197" s="290">
        <f t="shared" si="29"/>
        <v>0</v>
      </c>
      <c r="U197" s="291">
        <f t="shared" si="40"/>
        <v>0</v>
      </c>
      <c r="V197" s="409"/>
      <c r="W197" s="388" t="b">
        <f t="shared" si="41"/>
        <v>0</v>
      </c>
      <c r="X197" s="410" t="b">
        <f t="shared" si="30"/>
        <v>0</v>
      </c>
      <c r="Y197" s="498" t="b">
        <f t="shared" si="42"/>
        <v>0</v>
      </c>
      <c r="Z197" s="410" t="b">
        <f t="shared" si="43"/>
        <v>0</v>
      </c>
      <c r="AA197" s="392" t="b">
        <f t="shared" si="44"/>
        <v>0</v>
      </c>
      <c r="AB197" s="410" t="b">
        <f t="shared" si="45"/>
        <v>0</v>
      </c>
      <c r="AC197" s="408" t="b">
        <f t="shared" si="46"/>
        <v>0</v>
      </c>
      <c r="AF197" s="410">
        <f t="shared" si="49"/>
        <v>0</v>
      </c>
      <c r="AG197" s="410">
        <f t="shared" si="50"/>
        <v>0</v>
      </c>
      <c r="AH197" s="507">
        <f t="shared" si="31"/>
        <v>0</v>
      </c>
      <c r="AI197" s="507">
        <f t="shared" si="48"/>
        <v>0</v>
      </c>
    </row>
    <row r="198" spans="1:35" s="388" customFormat="1" hidden="1">
      <c r="A198" s="421"/>
      <c r="B198" s="478" t="str" cm="1">
        <f t="array" ref="B198">_xlfn.IFS(C197="","",C197="","",AND(D198&lt;&gt;End,D197&lt;&gt;Loop),C197,D198=End,_xlfn.CONCAT(C197,", "&amp;$F$11),D197=Loop,_xlfn.CONCAT($F$11&amp;" x2,1"))</f>
        <v/>
      </c>
      <c r="C198" s="286" t="str">
        <f t="shared" si="32"/>
        <v/>
      </c>
      <c r="D198" s="292" t="str">
        <f t="shared" si="23"/>
        <v/>
      </c>
      <c r="E198" s="293">
        <f t="shared" si="33"/>
        <v>0</v>
      </c>
      <c r="F198" s="287">
        <f t="shared" si="34"/>
        <v>0</v>
      </c>
      <c r="G198" s="293">
        <f t="shared" si="35"/>
        <v>0</v>
      </c>
      <c r="H198" s="288" cm="1">
        <f t="array" ref="H198">IF(D197=Loop,$H$191,_xlfn.IFS($D198=Angle,(E198*J198)+H197,$D198=Loop,$H$190,OR($D198="",$D198=End),H197,OR($D198=Dx,$D198=sx,$D198=up,$D198=down),(E198*J198)+H197))</f>
        <v>0</v>
      </c>
      <c r="I198" s="288" cm="1">
        <f t="array" ref="I198">IF(D197=Loop,$I$191,_xlfn.IFS($D198=Angle,(E198*K198)+I197,$D198=Loop,$I$190,OR($D198="",$D198=End),I197,OR($D198=Dx,$D198=sx,$D198=up,$D198=down),(E198*K198)+I197))</f>
        <v>0</v>
      </c>
      <c r="J198" s="294">
        <f t="shared" si="25"/>
        <v>1</v>
      </c>
      <c r="K198" s="294">
        <f t="shared" si="26"/>
        <v>0</v>
      </c>
      <c r="L198" s="408">
        <f t="shared" si="36"/>
        <v>0</v>
      </c>
      <c r="M198" s="408" t="str">
        <f t="shared" si="37"/>
        <v/>
      </c>
      <c r="N198" s="486" t="str">
        <f t="shared" si="27"/>
        <v/>
      </c>
      <c r="O198" s="408" t="str">
        <f t="shared" si="38"/>
        <v/>
      </c>
      <c r="P198" s="487" t="str">
        <f t="shared" si="39"/>
        <v/>
      </c>
      <c r="Q198" s="569">
        <f t="shared" si="28"/>
        <v>0</v>
      </c>
      <c r="R198" s="569"/>
      <c r="S198" s="277" cm="1">
        <f t="array" ref="S198">+IF(G198=0,0,IF(MOD(G198,SpanTow),_xlfn.FLOOR.MATH(G198/SpanTow),_xlfn.FLOOR.MATH(G198/SpanTow)-1))</f>
        <v>0</v>
      </c>
      <c r="T198" s="290">
        <f t="shared" si="29"/>
        <v>0</v>
      </c>
      <c r="U198" s="291">
        <f t="shared" si="40"/>
        <v>0</v>
      </c>
      <c r="V198" s="409"/>
      <c r="W198" s="388" t="b">
        <f t="shared" si="41"/>
        <v>0</v>
      </c>
      <c r="X198" s="410" t="b">
        <f t="shared" si="30"/>
        <v>0</v>
      </c>
      <c r="Y198" s="498" t="b">
        <f t="shared" si="42"/>
        <v>0</v>
      </c>
      <c r="Z198" s="410" t="b">
        <f t="shared" si="43"/>
        <v>0</v>
      </c>
      <c r="AA198" s="392" t="b">
        <f t="shared" si="44"/>
        <v>0</v>
      </c>
      <c r="AB198" s="410" t="b">
        <f t="shared" si="45"/>
        <v>0</v>
      </c>
      <c r="AC198" s="408" t="b">
        <f t="shared" si="46"/>
        <v>0</v>
      </c>
      <c r="AF198" s="410">
        <f t="shared" si="49"/>
        <v>0</v>
      </c>
      <c r="AG198" s="410">
        <f t="shared" si="50"/>
        <v>0</v>
      </c>
      <c r="AH198" s="507">
        <f>IFERROR(IF(AND(AF198=0,AG198&gt;0),90,IF(AND(AF198=0,AG198&lt;0),270,IF(AND(AF198&gt;0,AG198=0),0,IF(AND(AF198&lt;0,AG198=0),180,DEGREES(ATAN((AG198)/(AF198))))))),0)</f>
        <v>0</v>
      </c>
      <c r="AI198" s="507">
        <f t="shared" si="48"/>
        <v>0</v>
      </c>
    </row>
    <row r="199" spans="1:35" s="388" customFormat="1" hidden="1">
      <c r="A199" s="421"/>
      <c r="B199" s="478" t="str" cm="1">
        <f t="array" ref="B199">_xlfn.IFS(C198="","",C198="","",AND(D199&lt;&gt;End,D198&lt;&gt;Loop),C198,D199=End,_xlfn.CONCAT(C198,", "&amp;$F$11),D198=Loop,_xlfn.CONCAT($F$11&amp;" x2,1"))</f>
        <v/>
      </c>
      <c r="C199" s="286" t="str">
        <f t="shared" si="32"/>
        <v/>
      </c>
      <c r="D199" s="292" t="str">
        <f t="shared" si="23"/>
        <v/>
      </c>
      <c r="E199" s="293">
        <f t="shared" si="33"/>
        <v>0</v>
      </c>
      <c r="F199" s="287">
        <f t="shared" si="34"/>
        <v>0</v>
      </c>
      <c r="G199" s="293">
        <f t="shared" si="35"/>
        <v>0</v>
      </c>
      <c r="H199" s="288" cm="1">
        <f t="array" ref="H199">IF(D198=Loop,$H$191,_xlfn.IFS($D199=Angle,(E199*J199)+H198,$D199=Loop,$H$190,OR($D199="",$D199=End),H198,OR($D199=Dx,$D199=sx,$D199=up,$D199=down),(E199*J199)+H198))</f>
        <v>0</v>
      </c>
      <c r="I199" s="288" cm="1">
        <f t="array" ref="I199">IF(D198=Loop,$I$191,_xlfn.IFS($D199=Angle,(E199*K199)+I198,$D199=Loop,$I$190,OR($D199="",$D199=End),I198,OR($D199=Dx,$D199=sx,$D199=up,$D199=down),(E199*K199)+I198))</f>
        <v>0</v>
      </c>
      <c r="J199" s="294">
        <f t="shared" si="25"/>
        <v>1</v>
      </c>
      <c r="K199" s="294">
        <f t="shared" si="26"/>
        <v>0</v>
      </c>
      <c r="L199" s="408">
        <f t="shared" si="36"/>
        <v>0</v>
      </c>
      <c r="M199" s="408" t="str">
        <f t="shared" si="37"/>
        <v/>
      </c>
      <c r="N199" s="486" t="str">
        <f t="shared" si="27"/>
        <v/>
      </c>
      <c r="O199" s="408" t="str">
        <f t="shared" si="38"/>
        <v/>
      </c>
      <c r="P199" s="487" t="str">
        <f t="shared" si="39"/>
        <v/>
      </c>
      <c r="Q199" s="569">
        <f t="shared" si="28"/>
        <v>0</v>
      </c>
      <c r="R199" s="569"/>
      <c r="S199" s="277" cm="1">
        <f t="array" ref="S199">+IF(G199=0,0,IF(MOD(G199,SpanTow),_xlfn.FLOOR.MATH(G199/SpanTow),_xlfn.FLOOR.MATH(G199/SpanTow)-1))</f>
        <v>0</v>
      </c>
      <c r="T199" s="290">
        <f t="shared" si="29"/>
        <v>0</v>
      </c>
      <c r="U199" s="291">
        <f t="shared" si="40"/>
        <v>0</v>
      </c>
      <c r="V199" s="409"/>
      <c r="W199" s="388" t="b">
        <f t="shared" si="41"/>
        <v>0</v>
      </c>
      <c r="X199" s="410" t="b">
        <f t="shared" si="30"/>
        <v>0</v>
      </c>
      <c r="Y199" s="498" t="b">
        <f t="shared" si="42"/>
        <v>0</v>
      </c>
      <c r="Z199" s="410" t="b">
        <f t="shared" si="43"/>
        <v>0</v>
      </c>
      <c r="AA199" s="392" t="b">
        <f t="shared" si="44"/>
        <v>0</v>
      </c>
      <c r="AB199" s="410" t="b">
        <f t="shared" si="45"/>
        <v>0</v>
      </c>
      <c r="AC199" s="408" t="b">
        <f t="shared" si="46"/>
        <v>0</v>
      </c>
      <c r="AF199" s="410">
        <f t="shared" si="49"/>
        <v>0</v>
      </c>
      <c r="AG199" s="410">
        <f t="shared" si="50"/>
        <v>0</v>
      </c>
      <c r="AH199" s="507">
        <f t="shared" ref="AH199:AH253" si="51">IFERROR(IF(AND(AF199=0,AG199&gt;0),90,IF(AND(AF199=0,AG199&lt;0),270,IF(AND(AF199&gt;0,AG199=0),0,IF(AND(AF199&lt;0,AG199=0),180,DEGREES(ATAN((AG199)/(AF199))))))),0)</f>
        <v>0</v>
      </c>
      <c r="AI199" s="507">
        <f t="shared" si="48"/>
        <v>0</v>
      </c>
    </row>
    <row r="200" spans="1:35" s="388" customFormat="1" hidden="1">
      <c r="A200" s="421"/>
      <c r="B200" s="478" t="str" cm="1">
        <f t="array" ref="B200">_xlfn.IFS(C199="","",C199="","",AND(D200&lt;&gt;End,D199&lt;&gt;Loop),C199,D200=End,_xlfn.CONCAT(C199,", "&amp;$F$11),D199=Loop,_xlfn.CONCAT($F$11&amp;" x2,1"))</f>
        <v/>
      </c>
      <c r="C200" s="286" t="str">
        <f t="shared" si="32"/>
        <v/>
      </c>
      <c r="D200" s="292" t="str">
        <f t="shared" si="23"/>
        <v/>
      </c>
      <c r="E200" s="293">
        <f t="shared" si="33"/>
        <v>0</v>
      </c>
      <c r="F200" s="287">
        <f t="shared" si="34"/>
        <v>0</v>
      </c>
      <c r="G200" s="293">
        <f t="shared" si="35"/>
        <v>0</v>
      </c>
      <c r="H200" s="288" cm="1">
        <f t="array" ref="H200">IF(D199=Loop,$H$191,_xlfn.IFS($D200=Angle,(E200*J200)+H199,$D200=Loop,$H$190,OR($D200="",$D200=End),H199,OR($D200=Dx,$D200=sx,$D200=up,$D200=down),(E200*J200)+H199))</f>
        <v>0</v>
      </c>
      <c r="I200" s="288" cm="1">
        <f t="array" ref="I200">IF(D199=Loop,$I$191,_xlfn.IFS($D200=Angle,(E200*K200)+I199,$D200=Loop,$I$190,OR($D200="",$D200=End),I199,OR($D200=Dx,$D200=sx,$D200=up,$D200=down),(E200*K200)+I199))</f>
        <v>0</v>
      </c>
      <c r="J200" s="294">
        <f t="shared" si="25"/>
        <v>1</v>
      </c>
      <c r="K200" s="294">
        <f t="shared" si="26"/>
        <v>0</v>
      </c>
      <c r="L200" s="408">
        <f t="shared" si="36"/>
        <v>0</v>
      </c>
      <c r="M200" s="408" t="str">
        <f t="shared" si="37"/>
        <v/>
      </c>
      <c r="N200" s="486" t="str">
        <f t="shared" si="27"/>
        <v/>
      </c>
      <c r="O200" s="408" t="str">
        <f t="shared" si="38"/>
        <v/>
      </c>
      <c r="P200" s="487" t="str">
        <f t="shared" si="39"/>
        <v/>
      </c>
      <c r="Q200" s="569">
        <f t="shared" si="28"/>
        <v>0</v>
      </c>
      <c r="R200" s="569"/>
      <c r="S200" s="277" cm="1">
        <f t="array" ref="S200">+IF(G200=0,0,IF(MOD(G200,SpanTow),_xlfn.FLOOR.MATH(G200/SpanTow),_xlfn.FLOOR.MATH(G200/SpanTow)-1))</f>
        <v>0</v>
      </c>
      <c r="T200" s="290">
        <f t="shared" si="29"/>
        <v>0</v>
      </c>
      <c r="U200" s="291">
        <f t="shared" si="40"/>
        <v>0</v>
      </c>
      <c r="V200" s="409"/>
      <c r="W200" s="388" t="b">
        <f t="shared" si="41"/>
        <v>0</v>
      </c>
      <c r="X200" s="410" t="b">
        <f t="shared" si="30"/>
        <v>0</v>
      </c>
      <c r="Y200" s="498" t="b">
        <f t="shared" si="42"/>
        <v>0</v>
      </c>
      <c r="Z200" s="410" t="b">
        <f t="shared" si="43"/>
        <v>0</v>
      </c>
      <c r="AA200" s="392" t="b">
        <f t="shared" si="44"/>
        <v>0</v>
      </c>
      <c r="AB200" s="410" t="b">
        <f t="shared" si="45"/>
        <v>0</v>
      </c>
      <c r="AC200" s="408" t="b">
        <f t="shared" si="46"/>
        <v>0</v>
      </c>
      <c r="AF200" s="410">
        <f t="shared" si="49"/>
        <v>0</v>
      </c>
      <c r="AG200" s="410">
        <f t="shared" si="50"/>
        <v>0</v>
      </c>
      <c r="AH200" s="507">
        <f t="shared" si="51"/>
        <v>0</v>
      </c>
      <c r="AI200" s="507">
        <f t="shared" si="48"/>
        <v>0</v>
      </c>
    </row>
    <row r="201" spans="1:35" s="388" customFormat="1" hidden="1">
      <c r="A201" s="421"/>
      <c r="B201" s="478" t="str" cm="1">
        <f t="array" ref="B201">_xlfn.IFS(C200="","",C200="","",AND(D201&lt;&gt;End,D200&lt;&gt;Loop),C200,D201=End,_xlfn.CONCAT(C200,", "&amp;$F$11),D200=Loop,_xlfn.CONCAT($F$11&amp;" x2,1"))</f>
        <v/>
      </c>
      <c r="C201" s="286" t="str">
        <f t="shared" si="32"/>
        <v/>
      </c>
      <c r="D201" s="292" t="str">
        <f t="shared" si="23"/>
        <v/>
      </c>
      <c r="E201" s="293">
        <f t="shared" si="33"/>
        <v>0</v>
      </c>
      <c r="F201" s="287">
        <f t="shared" si="34"/>
        <v>0</v>
      </c>
      <c r="G201" s="293">
        <f t="shared" si="35"/>
        <v>0</v>
      </c>
      <c r="H201" s="288" cm="1">
        <f t="array" ref="H201">IF(D200=Loop,$H$191,_xlfn.IFS($D201=Angle,(E201*J201)+H200,$D201=Loop,$H$190,OR($D201="",$D201=End),H200,OR($D201=Dx,$D201=sx,$D201=up,$D201=down),(E201*J201)+H200))</f>
        <v>0</v>
      </c>
      <c r="I201" s="288" cm="1">
        <f t="array" ref="I201">IF(D200=Loop,$I$191,_xlfn.IFS($D201=Angle,(E201*K201)+I200,$D201=Loop,$I$190,OR($D201="",$D201=End),I200,OR($D201=Dx,$D201=sx,$D201=up,$D201=down),(E201*K201)+I200))</f>
        <v>0</v>
      </c>
      <c r="J201" s="295">
        <f t="shared" si="25"/>
        <v>1</v>
      </c>
      <c r="K201" s="295">
        <f t="shared" si="26"/>
        <v>0</v>
      </c>
      <c r="L201" s="408">
        <f t="shared" si="36"/>
        <v>0</v>
      </c>
      <c r="M201" s="408" t="str">
        <f t="shared" si="37"/>
        <v/>
      </c>
      <c r="N201" s="486" t="str">
        <f t="shared" si="27"/>
        <v/>
      </c>
      <c r="O201" s="408" t="str">
        <f t="shared" si="38"/>
        <v/>
      </c>
      <c r="P201" s="487" t="str">
        <f t="shared" si="39"/>
        <v/>
      </c>
      <c r="Q201" s="569">
        <f t="shared" si="28"/>
        <v>0</v>
      </c>
      <c r="R201" s="569"/>
      <c r="S201" s="277" cm="1">
        <f t="array" ref="S201">+IF(G201=0,0,IF(MOD(G201,SpanTow),_xlfn.FLOOR.MATH(G201/SpanTow),_xlfn.FLOOR.MATH(G201/SpanTow)-1))</f>
        <v>0</v>
      </c>
      <c r="T201" s="290">
        <f t="shared" ref="T201:T252" si="52">+MAX(Q201:S201)</f>
        <v>0</v>
      </c>
      <c r="U201" s="291">
        <f t="shared" si="40"/>
        <v>0</v>
      </c>
      <c r="V201" s="409"/>
      <c r="W201" s="388" t="b">
        <f t="shared" si="41"/>
        <v>0</v>
      </c>
      <c r="X201" s="410" t="b">
        <f t="shared" si="30"/>
        <v>0</v>
      </c>
      <c r="Y201" s="498" t="b">
        <f t="shared" si="42"/>
        <v>0</v>
      </c>
      <c r="Z201" s="410" t="b">
        <f t="shared" si="43"/>
        <v>0</v>
      </c>
      <c r="AA201" s="392" t="b">
        <f t="shared" si="44"/>
        <v>0</v>
      </c>
      <c r="AB201" s="410" t="b">
        <f t="shared" si="45"/>
        <v>0</v>
      </c>
      <c r="AC201" s="408" t="b">
        <f t="shared" si="46"/>
        <v>0</v>
      </c>
      <c r="AF201" s="410">
        <f t="shared" si="49"/>
        <v>0</v>
      </c>
      <c r="AG201" s="410">
        <f t="shared" si="50"/>
        <v>0</v>
      </c>
      <c r="AH201" s="507">
        <f t="shared" si="51"/>
        <v>0</v>
      </c>
      <c r="AI201" s="507">
        <f t="shared" si="48"/>
        <v>0</v>
      </c>
    </row>
    <row r="202" spans="1:35" s="388" customFormat="1" hidden="1">
      <c r="A202" s="421"/>
      <c r="B202" s="478" t="str" cm="1">
        <f t="array" ref="B202">_xlfn.IFS(C201="","",C201="","",AND(D202&lt;&gt;End,D201&lt;&gt;Loop),C201,D202=End,_xlfn.CONCAT(C201,", "&amp;$F$11),D201=Loop,_xlfn.CONCAT($F$11&amp;" x2,1"))</f>
        <v/>
      </c>
      <c r="C202" s="286" t="str">
        <f t="shared" si="32"/>
        <v/>
      </c>
      <c r="D202" s="292" t="str">
        <f t="shared" si="23"/>
        <v/>
      </c>
      <c r="E202" s="293">
        <f t="shared" si="33"/>
        <v>0</v>
      </c>
      <c r="F202" s="287">
        <f t="shared" si="34"/>
        <v>0</v>
      </c>
      <c r="G202" s="293">
        <f t="shared" si="35"/>
        <v>0</v>
      </c>
      <c r="H202" s="288" cm="1">
        <f t="array" ref="H202">IF(D201=Loop,$H$191,_xlfn.IFS($D202=Angle,(E202*J202)+H201,$D202=Loop,$H$190,OR($D202="",$D202=End),H201,OR($D202=Dx,$D202=sx,$D202=up,$D202=down),(E202*J202)+H201))</f>
        <v>0</v>
      </c>
      <c r="I202" s="288" cm="1">
        <f t="array" ref="I202">IF(D201=Loop,$I$191,_xlfn.IFS($D202=Angle,(E202*K202)+I201,$D202=Loop,$I$190,OR($D202="",$D202=End),I201,OR($D202=Dx,$D202=sx,$D202=up,$D202=down),(E202*K202)+I201))</f>
        <v>0</v>
      </c>
      <c r="J202" s="295">
        <f t="shared" si="25"/>
        <v>1</v>
      </c>
      <c r="K202" s="295">
        <f t="shared" si="26"/>
        <v>0</v>
      </c>
      <c r="L202" s="408">
        <f t="shared" si="36"/>
        <v>0</v>
      </c>
      <c r="M202" s="408" t="str">
        <f t="shared" si="37"/>
        <v/>
      </c>
      <c r="N202" s="486" t="str">
        <f t="shared" si="27"/>
        <v/>
      </c>
      <c r="O202" s="408" t="str">
        <f t="shared" si="38"/>
        <v/>
      </c>
      <c r="P202" s="487" t="str">
        <f t="shared" si="39"/>
        <v/>
      </c>
      <c r="Q202" s="569">
        <f t="shared" si="28"/>
        <v>0</v>
      </c>
      <c r="R202" s="569"/>
      <c r="S202" s="277" cm="1">
        <f t="array" ref="S202">+IF(G202=0,0,IF(MOD(G202,SpanTow),_xlfn.FLOOR.MATH(G202/SpanTow),_xlfn.FLOOR.MATH(G202/SpanTow)-1))</f>
        <v>0</v>
      </c>
      <c r="T202" s="290">
        <f t="shared" si="52"/>
        <v>0</v>
      </c>
      <c r="U202" s="291">
        <f t="shared" si="40"/>
        <v>0</v>
      </c>
      <c r="V202" s="409"/>
      <c r="W202" s="388" t="b">
        <f t="shared" si="41"/>
        <v>0</v>
      </c>
      <c r="X202" s="410" t="b">
        <f t="shared" si="30"/>
        <v>0</v>
      </c>
      <c r="Y202" s="498" t="b">
        <f t="shared" si="42"/>
        <v>0</v>
      </c>
      <c r="Z202" s="410" t="b">
        <f t="shared" si="43"/>
        <v>0</v>
      </c>
      <c r="AA202" s="392" t="b">
        <f t="shared" si="44"/>
        <v>0</v>
      </c>
      <c r="AB202" s="410" t="b">
        <f t="shared" si="45"/>
        <v>0</v>
      </c>
      <c r="AC202" s="408" t="b">
        <f t="shared" si="46"/>
        <v>0</v>
      </c>
      <c r="AF202" s="410">
        <f t="shared" si="49"/>
        <v>0</v>
      </c>
      <c r="AG202" s="410">
        <f t="shared" si="50"/>
        <v>0</v>
      </c>
      <c r="AH202" s="507">
        <f t="shared" si="51"/>
        <v>0</v>
      </c>
      <c r="AI202" s="507">
        <f t="shared" si="48"/>
        <v>0</v>
      </c>
    </row>
    <row r="203" spans="1:35" s="388" customFormat="1" hidden="1">
      <c r="A203" s="421"/>
      <c r="B203" s="478" t="str" cm="1">
        <f t="array" ref="B203">_xlfn.IFS(C202="","",C202="","",AND(D203&lt;&gt;End,D202&lt;&gt;Loop),C202,D203=End,_xlfn.CONCAT(C202,", "&amp;$F$11),D202=Loop,_xlfn.CONCAT($F$11&amp;" x2,1"))</f>
        <v/>
      </c>
      <c r="C203" s="286" t="str">
        <f t="shared" si="32"/>
        <v/>
      </c>
      <c r="D203" s="292" t="str">
        <f t="shared" si="23"/>
        <v/>
      </c>
      <c r="E203" s="293">
        <f t="shared" si="33"/>
        <v>0</v>
      </c>
      <c r="F203" s="287">
        <f t="shared" si="34"/>
        <v>0</v>
      </c>
      <c r="G203" s="293">
        <f t="shared" si="35"/>
        <v>0</v>
      </c>
      <c r="H203" s="288" cm="1">
        <f t="array" ref="H203">IF(D202=Loop,$H$191,_xlfn.IFS($D203=Angle,(E203*J203)+H202,$D203=Loop,$H$190,OR($D203="",$D203=End),H202,OR($D203=Dx,$D203=sx,$D203=up,$D203=down),(E203*J203)+H202))</f>
        <v>0</v>
      </c>
      <c r="I203" s="288" cm="1">
        <f t="array" ref="I203">IF(D202=Loop,$I$191,_xlfn.IFS($D203=Angle,(E203*K203)+I202,$D203=Loop,$I$190,OR($D203="",$D203=End),I202,OR($D203=Dx,$D203=sx,$D203=up,$D203=down),(E203*K203)+I202))</f>
        <v>0</v>
      </c>
      <c r="J203" s="295">
        <f t="shared" si="25"/>
        <v>1</v>
      </c>
      <c r="K203" s="295">
        <f t="shared" si="26"/>
        <v>0</v>
      </c>
      <c r="L203" s="408">
        <f t="shared" si="36"/>
        <v>0</v>
      </c>
      <c r="M203" s="408" t="str">
        <f t="shared" si="37"/>
        <v/>
      </c>
      <c r="N203" s="486" t="str">
        <f t="shared" si="27"/>
        <v/>
      </c>
      <c r="O203" s="408" t="str">
        <f t="shared" si="38"/>
        <v/>
      </c>
      <c r="P203" s="487" t="str">
        <f t="shared" si="39"/>
        <v/>
      </c>
      <c r="Q203" s="569">
        <f t="shared" si="28"/>
        <v>0</v>
      </c>
      <c r="R203" s="569"/>
      <c r="S203" s="277" cm="1">
        <f t="array" ref="S203">+IF(G203=0,0,IF(MOD(G203,SpanTow),_xlfn.FLOOR.MATH(G203/SpanTow),_xlfn.FLOOR.MATH(G203/SpanTow)-1))</f>
        <v>0</v>
      </c>
      <c r="T203" s="290">
        <f t="shared" si="52"/>
        <v>0</v>
      </c>
      <c r="U203" s="291">
        <f t="shared" si="40"/>
        <v>0</v>
      </c>
      <c r="V203" s="409"/>
      <c r="W203" s="388" t="b">
        <f t="shared" si="41"/>
        <v>0</v>
      </c>
      <c r="X203" s="410" t="b">
        <f t="shared" si="30"/>
        <v>0</v>
      </c>
      <c r="Y203" s="498" t="b">
        <f t="shared" si="42"/>
        <v>0</v>
      </c>
      <c r="Z203" s="410" t="b">
        <f t="shared" si="43"/>
        <v>0</v>
      </c>
      <c r="AA203" s="392" t="b">
        <f t="shared" si="44"/>
        <v>0</v>
      </c>
      <c r="AB203" s="410" t="b">
        <f t="shared" si="45"/>
        <v>0</v>
      </c>
      <c r="AC203" s="408" t="b">
        <f t="shared" si="46"/>
        <v>0</v>
      </c>
      <c r="AF203" s="410">
        <f t="shared" si="49"/>
        <v>0</v>
      </c>
      <c r="AG203" s="410">
        <f t="shared" si="50"/>
        <v>0</v>
      </c>
      <c r="AH203" s="507">
        <f t="shared" si="51"/>
        <v>0</v>
      </c>
      <c r="AI203" s="507">
        <f t="shared" si="48"/>
        <v>0</v>
      </c>
    </row>
    <row r="204" spans="1:35" s="388" customFormat="1" hidden="1">
      <c r="A204" s="421"/>
      <c r="B204" s="478" t="str" cm="1">
        <f t="array" ref="B204">_xlfn.IFS(C203="","",C203="","",AND(D204&lt;&gt;End,D203&lt;&gt;Loop),C203,D204=End,_xlfn.CONCAT(C203,", "&amp;$F$11),D203=Loop,_xlfn.CONCAT($F$11&amp;" x2,1"))</f>
        <v/>
      </c>
      <c r="C204" s="286" t="str">
        <f t="shared" si="32"/>
        <v/>
      </c>
      <c r="D204" s="292" t="str">
        <f t="shared" si="23"/>
        <v/>
      </c>
      <c r="E204" s="293">
        <f t="shared" si="33"/>
        <v>0</v>
      </c>
      <c r="F204" s="287">
        <f t="shared" si="34"/>
        <v>0</v>
      </c>
      <c r="G204" s="293">
        <f t="shared" si="35"/>
        <v>0</v>
      </c>
      <c r="H204" s="288" cm="1">
        <f t="array" ref="H204">IF(D203=Loop,$H$191,_xlfn.IFS($D204=Angle,(E204*J204)+H203,$D204=Loop,$H$190,OR($D204="",$D204=End),H203,OR($D204=Dx,$D204=sx,$D204=up,$D204=down),(E204*J204)+H203))</f>
        <v>0</v>
      </c>
      <c r="I204" s="288" cm="1">
        <f t="array" ref="I204">IF(D203=Loop,$I$191,_xlfn.IFS($D204=Angle,(E204*K204)+I203,$D204=Loop,$I$190,OR($D204="",$D204=End),I203,OR($D204=Dx,$D204=sx,$D204=up,$D204=down),(E204*K204)+I203))</f>
        <v>0</v>
      </c>
      <c r="J204" s="295">
        <f t="shared" si="25"/>
        <v>1</v>
      </c>
      <c r="K204" s="295">
        <f t="shared" si="26"/>
        <v>0</v>
      </c>
      <c r="L204" s="408">
        <f t="shared" si="36"/>
        <v>0</v>
      </c>
      <c r="M204" s="408" t="str">
        <f t="shared" si="37"/>
        <v/>
      </c>
      <c r="N204" s="486" t="str">
        <f t="shared" si="27"/>
        <v/>
      </c>
      <c r="O204" s="408" t="str">
        <f t="shared" si="38"/>
        <v/>
      </c>
      <c r="P204" s="487" t="str">
        <f t="shared" si="39"/>
        <v/>
      </c>
      <c r="Q204" s="569">
        <f t="shared" si="28"/>
        <v>0</v>
      </c>
      <c r="R204" s="569"/>
      <c r="S204" s="277" cm="1">
        <f t="array" ref="S204">+IF(G204=0,0,IF(MOD(G204,SpanTow),_xlfn.FLOOR.MATH(G204/SpanTow),_xlfn.FLOOR.MATH(G204/SpanTow)-1))</f>
        <v>0</v>
      </c>
      <c r="T204" s="290">
        <f t="shared" si="52"/>
        <v>0</v>
      </c>
      <c r="U204" s="291">
        <f t="shared" si="40"/>
        <v>0</v>
      </c>
      <c r="V204" s="409"/>
      <c r="W204" s="388" t="b">
        <f t="shared" si="41"/>
        <v>0</v>
      </c>
      <c r="X204" s="410" t="b">
        <f t="shared" si="30"/>
        <v>0</v>
      </c>
      <c r="Y204" s="498" t="b">
        <f t="shared" si="42"/>
        <v>0</v>
      </c>
      <c r="Z204" s="410" t="b">
        <f t="shared" si="43"/>
        <v>0</v>
      </c>
      <c r="AA204" s="392" t="b">
        <f t="shared" si="44"/>
        <v>0</v>
      </c>
      <c r="AB204" s="410" t="b">
        <f t="shared" si="45"/>
        <v>0</v>
      </c>
      <c r="AC204" s="408" t="b">
        <f t="shared" si="46"/>
        <v>0</v>
      </c>
      <c r="AF204" s="410">
        <f t="shared" si="49"/>
        <v>0</v>
      </c>
      <c r="AG204" s="410">
        <f t="shared" si="50"/>
        <v>0</v>
      </c>
      <c r="AH204" s="507">
        <f t="shared" si="51"/>
        <v>0</v>
      </c>
      <c r="AI204" s="507">
        <f t="shared" si="48"/>
        <v>0</v>
      </c>
    </row>
    <row r="205" spans="1:35" s="388" customFormat="1" hidden="1">
      <c r="A205" s="421"/>
      <c r="B205" s="478" t="str" cm="1">
        <f t="array" ref="B205">_xlfn.IFS(C204="","",C204="","",AND(D205&lt;&gt;End,D204&lt;&gt;Loop),C204,D205=End,_xlfn.CONCAT(C204,", "&amp;$F$11),D204=Loop,_xlfn.CONCAT($F$11&amp;" x2,1"))</f>
        <v/>
      </c>
      <c r="C205" s="286" t="str">
        <f t="shared" si="32"/>
        <v/>
      </c>
      <c r="D205" s="292" t="str">
        <f t="shared" si="23"/>
        <v/>
      </c>
      <c r="E205" s="293">
        <f t="shared" si="33"/>
        <v>0</v>
      </c>
      <c r="F205" s="287">
        <f t="shared" si="34"/>
        <v>0</v>
      </c>
      <c r="G205" s="293">
        <f t="shared" si="35"/>
        <v>0</v>
      </c>
      <c r="H205" s="288" cm="1">
        <f t="array" ref="H205">IF(D204=Loop,$H$191,_xlfn.IFS($D205=Angle,(E205*J205)+H204,$D205=Loop,$H$190,OR($D205="",$D205=End),H204,OR($D205=Dx,$D205=sx,$D205=up,$D205=down),(E205*J205)+H204))</f>
        <v>0</v>
      </c>
      <c r="I205" s="288" cm="1">
        <f t="array" ref="I205">IF(D204=Loop,$I$191,_xlfn.IFS($D205=Angle,(E205*K205)+I204,$D205=Loop,$I$190,OR($D205="",$D205=End),I204,OR($D205=Dx,$D205=sx,$D205=up,$D205=down),(E205*K205)+I204))</f>
        <v>0</v>
      </c>
      <c r="J205" s="295">
        <f t="shared" si="25"/>
        <v>1</v>
      </c>
      <c r="K205" s="295">
        <f t="shared" si="26"/>
        <v>0</v>
      </c>
      <c r="L205" s="408">
        <f t="shared" si="36"/>
        <v>0</v>
      </c>
      <c r="M205" s="408" t="str">
        <f t="shared" si="37"/>
        <v/>
      </c>
      <c r="N205" s="486" t="str">
        <f t="shared" si="27"/>
        <v/>
      </c>
      <c r="O205" s="408" t="str">
        <f t="shared" si="38"/>
        <v/>
      </c>
      <c r="P205" s="487" t="str">
        <f t="shared" si="39"/>
        <v/>
      </c>
      <c r="Q205" s="569">
        <f t="shared" si="28"/>
        <v>0</v>
      </c>
      <c r="R205" s="569"/>
      <c r="S205" s="277" cm="1">
        <f t="array" ref="S205">+IF(G205=0,0,IF(MOD(G205,SpanTow),_xlfn.FLOOR.MATH(G205/SpanTow),_xlfn.FLOOR.MATH(G205/SpanTow)-1))</f>
        <v>0</v>
      </c>
      <c r="T205" s="290">
        <f t="shared" si="52"/>
        <v>0</v>
      </c>
      <c r="U205" s="291">
        <f t="shared" si="40"/>
        <v>0</v>
      </c>
      <c r="V205" s="409"/>
      <c r="W205" s="388" t="b">
        <f t="shared" si="41"/>
        <v>0</v>
      </c>
      <c r="X205" s="410" t="b">
        <f t="shared" si="30"/>
        <v>0</v>
      </c>
      <c r="Y205" s="498" t="b">
        <f t="shared" si="42"/>
        <v>0</v>
      </c>
      <c r="Z205" s="410" t="b">
        <f t="shared" si="43"/>
        <v>0</v>
      </c>
      <c r="AA205" s="392" t="b">
        <f t="shared" si="44"/>
        <v>0</v>
      </c>
      <c r="AB205" s="410" t="b">
        <f t="shared" si="45"/>
        <v>0</v>
      </c>
      <c r="AC205" s="408" t="b">
        <f t="shared" si="46"/>
        <v>0</v>
      </c>
      <c r="AF205" s="410">
        <f t="shared" si="49"/>
        <v>0</v>
      </c>
      <c r="AG205" s="410">
        <f t="shared" si="50"/>
        <v>0</v>
      </c>
      <c r="AH205" s="507">
        <f t="shared" si="51"/>
        <v>0</v>
      </c>
      <c r="AI205" s="507">
        <f t="shared" si="48"/>
        <v>0</v>
      </c>
    </row>
    <row r="206" spans="1:35" s="388" customFormat="1" hidden="1">
      <c r="A206" s="421"/>
      <c r="B206" s="478" t="str" cm="1">
        <f t="array" ref="B206">_xlfn.IFS(C205="","",C205="","",AND(D206&lt;&gt;End,D205&lt;&gt;Loop),C205,D206=End,_xlfn.CONCAT(C205,", "&amp;$F$11),D205=Loop,_xlfn.CONCAT($F$11&amp;" x2,1"))</f>
        <v/>
      </c>
      <c r="C206" s="286" t="str">
        <f t="shared" si="32"/>
        <v/>
      </c>
      <c r="D206" s="292" t="str">
        <f t="shared" si="23"/>
        <v/>
      </c>
      <c r="E206" s="293">
        <f t="shared" si="33"/>
        <v>0</v>
      </c>
      <c r="F206" s="287">
        <f t="shared" si="34"/>
        <v>0</v>
      </c>
      <c r="G206" s="293">
        <f t="shared" si="35"/>
        <v>0</v>
      </c>
      <c r="H206" s="288" cm="1">
        <f t="array" ref="H206">IF(D205=Loop,$H$191,_xlfn.IFS($D206=Angle,(E206*J206)+H205,$D206=Loop,$H$190,OR($D206="",$D206=End),H205,OR($D206=Dx,$D206=sx,$D206=up,$D206=down),(E206*J206)+H205))</f>
        <v>0</v>
      </c>
      <c r="I206" s="288" cm="1">
        <f t="array" ref="I206">IF(D205=Loop,$I$191,_xlfn.IFS($D206=Angle,(E206*K206)+I205,$D206=Loop,$I$190,OR($D206="",$D206=End),I205,OR($D206=Dx,$D206=sx,$D206=up,$D206=down),(E206*K206)+I205))</f>
        <v>0</v>
      </c>
      <c r="J206" s="295">
        <f t="shared" si="25"/>
        <v>1</v>
      </c>
      <c r="K206" s="295">
        <f t="shared" si="26"/>
        <v>0</v>
      </c>
      <c r="L206" s="408">
        <f t="shared" si="36"/>
        <v>0</v>
      </c>
      <c r="M206" s="408" t="str">
        <f t="shared" si="37"/>
        <v/>
      </c>
      <c r="N206" s="486" t="str">
        <f t="shared" si="27"/>
        <v/>
      </c>
      <c r="O206" s="408" t="str">
        <f t="shared" si="38"/>
        <v/>
      </c>
      <c r="P206" s="487" t="str">
        <f t="shared" si="39"/>
        <v/>
      </c>
      <c r="Q206" s="569">
        <f t="shared" si="28"/>
        <v>0</v>
      </c>
      <c r="R206" s="569"/>
      <c r="S206" s="277" cm="1">
        <f t="array" ref="S206">+IF(G206=0,0,IF(MOD(G206,SpanTow),_xlfn.FLOOR.MATH(G206/SpanTow),_xlfn.FLOOR.MATH(G206/SpanTow)-1))</f>
        <v>0</v>
      </c>
      <c r="T206" s="290">
        <f t="shared" si="52"/>
        <v>0</v>
      </c>
      <c r="U206" s="291">
        <f t="shared" si="40"/>
        <v>0</v>
      </c>
      <c r="V206" s="409"/>
      <c r="W206" s="388" t="b">
        <f t="shared" si="41"/>
        <v>0</v>
      </c>
      <c r="X206" s="410" t="b">
        <f t="shared" si="30"/>
        <v>0</v>
      </c>
      <c r="Y206" s="498" t="b">
        <f t="shared" si="42"/>
        <v>0</v>
      </c>
      <c r="Z206" s="410" t="b">
        <f t="shared" si="43"/>
        <v>0</v>
      </c>
      <c r="AA206" s="392" t="b">
        <f t="shared" si="44"/>
        <v>0</v>
      </c>
      <c r="AB206" s="410" t="b">
        <f t="shared" si="45"/>
        <v>0</v>
      </c>
      <c r="AC206" s="408" t="b">
        <f t="shared" si="46"/>
        <v>0</v>
      </c>
      <c r="AF206" s="410">
        <f t="shared" si="49"/>
        <v>0</v>
      </c>
      <c r="AG206" s="410">
        <f t="shared" si="50"/>
        <v>0</v>
      </c>
      <c r="AH206" s="507">
        <f t="shared" si="51"/>
        <v>0</v>
      </c>
      <c r="AI206" s="507">
        <f t="shared" si="48"/>
        <v>0</v>
      </c>
    </row>
    <row r="207" spans="1:35" s="388" customFormat="1" hidden="1">
      <c r="A207" s="421"/>
      <c r="B207" s="478" t="str" cm="1">
        <f t="array" ref="B207">_xlfn.IFS(C206="","",C206="","",AND(D207&lt;&gt;End,D206&lt;&gt;Loop),C206,D207=End,_xlfn.CONCAT(C206,", "&amp;$F$11),D206=Loop,_xlfn.CONCAT($F$11&amp;" x2,1"))</f>
        <v/>
      </c>
      <c r="C207" s="286" t="str">
        <f t="shared" si="32"/>
        <v/>
      </c>
      <c r="D207" s="292" t="str">
        <f t="shared" si="23"/>
        <v/>
      </c>
      <c r="E207" s="293">
        <f t="shared" si="33"/>
        <v>0</v>
      </c>
      <c r="F207" s="287">
        <f t="shared" si="34"/>
        <v>0</v>
      </c>
      <c r="G207" s="293">
        <f t="shared" si="35"/>
        <v>0</v>
      </c>
      <c r="H207" s="288" cm="1">
        <f t="array" ref="H207">IF(D206=Loop,$H$191,_xlfn.IFS($D207=Angle,(E207*J207)+H206,$D207=Loop,$H$190,OR($D207="",$D207=End),H206,OR($D207=Dx,$D207=sx,$D207=up,$D207=down),(E207*J207)+H206))</f>
        <v>0</v>
      </c>
      <c r="I207" s="288" cm="1">
        <f t="array" ref="I207">IF(D206=Loop,$I$191,_xlfn.IFS($D207=Angle,(E207*K207)+I206,$D207=Loop,$I$190,OR($D207="",$D207=End),I206,OR($D207=Dx,$D207=sx,$D207=up,$D207=down),(E207*K207)+I206))</f>
        <v>0</v>
      </c>
      <c r="J207" s="295">
        <f t="shared" si="25"/>
        <v>1</v>
      </c>
      <c r="K207" s="295">
        <f t="shared" si="26"/>
        <v>0</v>
      </c>
      <c r="L207" s="408">
        <f t="shared" si="36"/>
        <v>0</v>
      </c>
      <c r="M207" s="408" t="str">
        <f t="shared" si="37"/>
        <v/>
      </c>
      <c r="N207" s="486" t="str">
        <f t="shared" si="27"/>
        <v/>
      </c>
      <c r="O207" s="408" t="str">
        <f t="shared" si="38"/>
        <v/>
      </c>
      <c r="P207" s="487" t="str">
        <f t="shared" si="39"/>
        <v/>
      </c>
      <c r="Q207" s="569">
        <f t="shared" si="28"/>
        <v>0</v>
      </c>
      <c r="R207" s="569"/>
      <c r="S207" s="277" cm="1">
        <f t="array" ref="S207">+IF(G207=0,0,IF(MOD(G207,SpanTow),_xlfn.FLOOR.MATH(G207/SpanTow),_xlfn.FLOOR.MATH(G207/SpanTow)-1))</f>
        <v>0</v>
      </c>
      <c r="T207" s="290">
        <f t="shared" si="52"/>
        <v>0</v>
      </c>
      <c r="U207" s="291">
        <f t="shared" si="40"/>
        <v>0</v>
      </c>
      <c r="V207" s="409"/>
      <c r="W207" s="388" t="b">
        <f t="shared" si="41"/>
        <v>0</v>
      </c>
      <c r="X207" s="410" t="b">
        <f t="shared" si="30"/>
        <v>0</v>
      </c>
      <c r="Y207" s="498" t="b">
        <f t="shared" si="42"/>
        <v>0</v>
      </c>
      <c r="Z207" s="410" t="b">
        <f t="shared" si="43"/>
        <v>0</v>
      </c>
      <c r="AA207" s="392" t="b">
        <f t="shared" si="44"/>
        <v>0</v>
      </c>
      <c r="AB207" s="410" t="b">
        <f t="shared" si="45"/>
        <v>0</v>
      </c>
      <c r="AC207" s="408" t="b">
        <f t="shared" si="46"/>
        <v>0</v>
      </c>
      <c r="AF207" s="410">
        <f t="shared" si="49"/>
        <v>0</v>
      </c>
      <c r="AG207" s="410">
        <f t="shared" si="50"/>
        <v>0</v>
      </c>
      <c r="AH207" s="507">
        <f t="shared" si="51"/>
        <v>0</v>
      </c>
      <c r="AI207" s="507">
        <f t="shared" si="48"/>
        <v>0</v>
      </c>
    </row>
    <row r="208" spans="1:35" s="388" customFormat="1" hidden="1">
      <c r="A208" s="421"/>
      <c r="B208" s="478" t="str" cm="1">
        <f t="array" ref="B208">_xlfn.IFS(C207="","",C207="","",AND(D208&lt;&gt;End,D207&lt;&gt;Loop),C207,D208=End,_xlfn.CONCAT(C207,", "&amp;$F$11),D207=Loop,_xlfn.CONCAT($F$11&amp;" x2,1"))</f>
        <v/>
      </c>
      <c r="C208" s="286" t="str">
        <f t="shared" si="32"/>
        <v/>
      </c>
      <c r="D208" s="292" t="str">
        <f t="shared" si="23"/>
        <v/>
      </c>
      <c r="E208" s="293">
        <f t="shared" si="33"/>
        <v>0</v>
      </c>
      <c r="F208" s="287">
        <f t="shared" si="34"/>
        <v>0</v>
      </c>
      <c r="G208" s="293">
        <f t="shared" si="35"/>
        <v>0</v>
      </c>
      <c r="H208" s="288" cm="1">
        <f t="array" ref="H208">IF(D207=Loop,$H$191,_xlfn.IFS($D208=Angle,(E208*J208)+H207,$D208=Loop,$H$190,OR($D208="",$D208=End),H207,OR($D208=Dx,$D208=sx,$D208=up,$D208=down),(E208*J208)+H207))</f>
        <v>0</v>
      </c>
      <c r="I208" s="288" cm="1">
        <f t="array" ref="I208">IF(D207=Loop,$I$191,_xlfn.IFS($D208=Angle,(E208*K208)+I207,$D208=Loop,$I$190,OR($D208="",$D208=End),I207,OR($D208=Dx,$D208=sx,$D208=up,$D208=down),(E208*K208)+I207))</f>
        <v>0</v>
      </c>
      <c r="J208" s="295">
        <f t="shared" si="25"/>
        <v>1</v>
      </c>
      <c r="K208" s="295">
        <f t="shared" si="26"/>
        <v>0</v>
      </c>
      <c r="L208" s="408">
        <f t="shared" si="36"/>
        <v>0</v>
      </c>
      <c r="M208" s="408" t="str">
        <f t="shared" si="37"/>
        <v/>
      </c>
      <c r="N208" s="486" t="str">
        <f t="shared" si="27"/>
        <v/>
      </c>
      <c r="O208" s="408" t="str">
        <f t="shared" si="38"/>
        <v/>
      </c>
      <c r="P208" s="487" t="str">
        <f t="shared" si="39"/>
        <v/>
      </c>
      <c r="Q208" s="569">
        <f t="shared" si="28"/>
        <v>0</v>
      </c>
      <c r="R208" s="569"/>
      <c r="S208" s="277" cm="1">
        <f t="array" ref="S208">+IF(G208=0,0,IF(MOD(G208,SpanTow),_xlfn.FLOOR.MATH(G208/SpanTow),_xlfn.FLOOR.MATH(G208/SpanTow)-1))</f>
        <v>0</v>
      </c>
      <c r="T208" s="290">
        <f t="shared" si="52"/>
        <v>0</v>
      </c>
      <c r="U208" s="291">
        <f t="shared" si="40"/>
        <v>0</v>
      </c>
      <c r="V208" s="409"/>
      <c r="W208" s="388" t="b">
        <f t="shared" si="41"/>
        <v>0</v>
      </c>
      <c r="X208" s="410" t="b">
        <f t="shared" si="30"/>
        <v>0</v>
      </c>
      <c r="Y208" s="498" t="b">
        <f t="shared" si="42"/>
        <v>0</v>
      </c>
      <c r="Z208" s="410" t="b">
        <f t="shared" si="43"/>
        <v>0</v>
      </c>
      <c r="AA208" s="392" t="b">
        <f t="shared" si="44"/>
        <v>0</v>
      </c>
      <c r="AB208" s="410" t="b">
        <f t="shared" si="45"/>
        <v>0</v>
      </c>
      <c r="AC208" s="408" t="b">
        <f t="shared" si="46"/>
        <v>0</v>
      </c>
      <c r="AF208" s="410">
        <f t="shared" si="49"/>
        <v>0</v>
      </c>
      <c r="AG208" s="410">
        <f t="shared" si="50"/>
        <v>0</v>
      </c>
      <c r="AH208" s="507">
        <f t="shared" si="51"/>
        <v>0</v>
      </c>
      <c r="AI208" s="507">
        <f t="shared" si="48"/>
        <v>0</v>
      </c>
    </row>
    <row r="209" spans="1:35" s="388" customFormat="1" hidden="1">
      <c r="A209" s="421"/>
      <c r="B209" s="478" t="str" cm="1">
        <f t="array" ref="B209">_xlfn.IFS(C208="","",C208="","",AND(D209&lt;&gt;End,D208&lt;&gt;Loop),C208,D209=End,_xlfn.CONCAT(C208,", "&amp;$F$11),D208=Loop,_xlfn.CONCAT($F$11&amp;" x2,1"))</f>
        <v/>
      </c>
      <c r="C209" s="286" t="str">
        <f t="shared" si="32"/>
        <v/>
      </c>
      <c r="D209" s="292" t="str">
        <f t="shared" si="23"/>
        <v/>
      </c>
      <c r="E209" s="293">
        <f t="shared" si="33"/>
        <v>0</v>
      </c>
      <c r="F209" s="287">
        <f t="shared" si="34"/>
        <v>0</v>
      </c>
      <c r="G209" s="293">
        <f t="shared" si="35"/>
        <v>0</v>
      </c>
      <c r="H209" s="288" cm="1">
        <f t="array" ref="H209">IF(D208=Loop,$H$191,_xlfn.IFS($D209=Angle,(E209*J209)+H208,$D209=Loop,$H$190,OR($D209="",$D209=End),H208,OR($D209=Dx,$D209=sx,$D209=up,$D209=down),(E209*J209)+H208))</f>
        <v>0</v>
      </c>
      <c r="I209" s="288" cm="1">
        <f t="array" ref="I209">IF(D208=Loop,$I$191,_xlfn.IFS($D209=Angle,(E209*K209)+I208,$D209=Loop,$I$190,OR($D209="",$D209=End),I208,OR($D209=Dx,$D209=sx,$D209=up,$D209=down),(E209*K209)+I208))</f>
        <v>0</v>
      </c>
      <c r="J209" s="295">
        <f t="shared" si="25"/>
        <v>1</v>
      </c>
      <c r="K209" s="295">
        <f t="shared" si="26"/>
        <v>0</v>
      </c>
      <c r="L209" s="408">
        <f t="shared" si="36"/>
        <v>0</v>
      </c>
      <c r="M209" s="408" t="str">
        <f t="shared" si="37"/>
        <v/>
      </c>
      <c r="N209" s="486" t="str">
        <f t="shared" si="27"/>
        <v/>
      </c>
      <c r="O209" s="408" t="str">
        <f t="shared" si="38"/>
        <v/>
      </c>
      <c r="P209" s="487" t="str">
        <f t="shared" si="39"/>
        <v/>
      </c>
      <c r="Q209" s="569">
        <f t="shared" si="28"/>
        <v>0</v>
      </c>
      <c r="R209" s="569"/>
      <c r="S209" s="277" cm="1">
        <f t="array" ref="S209">+IF(G209=0,0,IF(MOD(G209,SpanTow),_xlfn.FLOOR.MATH(G209/SpanTow),_xlfn.FLOOR.MATH(G209/SpanTow)-1))</f>
        <v>0</v>
      </c>
      <c r="T209" s="290">
        <f t="shared" si="52"/>
        <v>0</v>
      </c>
      <c r="U209" s="291">
        <f t="shared" si="40"/>
        <v>0</v>
      </c>
      <c r="V209" s="409"/>
      <c r="W209" s="388" t="b">
        <f t="shared" si="41"/>
        <v>0</v>
      </c>
      <c r="X209" s="410" t="b">
        <f t="shared" si="30"/>
        <v>0</v>
      </c>
      <c r="Y209" s="498" t="b">
        <f t="shared" si="42"/>
        <v>0</v>
      </c>
      <c r="Z209" s="410" t="b">
        <f t="shared" si="43"/>
        <v>0</v>
      </c>
      <c r="AA209" s="392" t="b">
        <f t="shared" si="44"/>
        <v>0</v>
      </c>
      <c r="AB209" s="410" t="b">
        <f t="shared" si="45"/>
        <v>0</v>
      </c>
      <c r="AC209" s="408" t="b">
        <f t="shared" si="46"/>
        <v>0</v>
      </c>
      <c r="AF209" s="410">
        <f t="shared" si="49"/>
        <v>0</v>
      </c>
      <c r="AG209" s="410">
        <f t="shared" si="50"/>
        <v>0</v>
      </c>
      <c r="AH209" s="507">
        <f t="shared" si="51"/>
        <v>0</v>
      </c>
      <c r="AI209" s="507">
        <f t="shared" si="48"/>
        <v>0</v>
      </c>
    </row>
    <row r="210" spans="1:35" s="388" customFormat="1" hidden="1">
      <c r="A210" s="421"/>
      <c r="B210" s="478" t="str" cm="1">
        <f t="array" ref="B210">_xlfn.IFS(C209="","",C209="","",AND(D210&lt;&gt;End,D209&lt;&gt;Loop),C209,D210=End,_xlfn.CONCAT(C209,", "&amp;$F$11),D209=Loop,_xlfn.CONCAT($F$11&amp;" x2,1"))</f>
        <v/>
      </c>
      <c r="C210" s="286" t="str">
        <f t="shared" si="32"/>
        <v/>
      </c>
      <c r="D210" s="292" t="str">
        <f t="shared" si="23"/>
        <v/>
      </c>
      <c r="E210" s="293">
        <f t="shared" si="33"/>
        <v>0</v>
      </c>
      <c r="F210" s="287">
        <f t="shared" si="34"/>
        <v>0</v>
      </c>
      <c r="G210" s="293">
        <f t="shared" si="35"/>
        <v>0</v>
      </c>
      <c r="H210" s="288" cm="1">
        <f t="array" ref="H210">IF(D209=Loop,$H$191,_xlfn.IFS($D210=Angle,(E210*J210)+H209,$D210=Loop,$H$190,OR($D210="",$D210=End),H209,OR($D210=Dx,$D210=sx,$D210=up,$D210=down),(E210*J210)+H209))</f>
        <v>0</v>
      </c>
      <c r="I210" s="288" cm="1">
        <f t="array" ref="I210">IF(D209=Loop,$I$191,_xlfn.IFS($D210=Angle,(E210*K210)+I209,$D210=Loop,$I$190,OR($D210="",$D210=End),I209,OR($D210=Dx,$D210=sx,$D210=up,$D210=down),(E210*K210)+I209))</f>
        <v>0</v>
      </c>
      <c r="J210" s="295">
        <f t="shared" si="25"/>
        <v>1</v>
      </c>
      <c r="K210" s="295">
        <f t="shared" si="26"/>
        <v>0</v>
      </c>
      <c r="L210" s="408">
        <f t="shared" si="36"/>
        <v>0</v>
      </c>
      <c r="M210" s="408" t="str">
        <f t="shared" si="37"/>
        <v/>
      </c>
      <c r="N210" s="486" t="str">
        <f t="shared" si="27"/>
        <v/>
      </c>
      <c r="O210" s="408" t="str">
        <f t="shared" si="38"/>
        <v/>
      </c>
      <c r="P210" s="487" t="str">
        <f t="shared" si="39"/>
        <v/>
      </c>
      <c r="Q210" s="569">
        <f t="shared" si="28"/>
        <v>0</v>
      </c>
      <c r="R210" s="569"/>
      <c r="S210" s="277" cm="1">
        <f t="array" ref="S210">+IF(G210=0,0,IF(MOD(G210,SpanTow),_xlfn.FLOOR.MATH(G210/SpanTow),_xlfn.FLOOR.MATH(G210/SpanTow)-1))</f>
        <v>0</v>
      </c>
      <c r="T210" s="290">
        <f t="shared" si="52"/>
        <v>0</v>
      </c>
      <c r="U210" s="291">
        <f t="shared" si="40"/>
        <v>0</v>
      </c>
      <c r="V210" s="409"/>
      <c r="W210" s="388" t="b">
        <f t="shared" si="41"/>
        <v>0</v>
      </c>
      <c r="X210" s="410" t="b">
        <f t="shared" si="30"/>
        <v>0</v>
      </c>
      <c r="Y210" s="498" t="b">
        <f t="shared" si="42"/>
        <v>0</v>
      </c>
      <c r="Z210" s="410" t="b">
        <f t="shared" si="43"/>
        <v>0</v>
      </c>
      <c r="AA210" s="392" t="b">
        <f t="shared" si="44"/>
        <v>0</v>
      </c>
      <c r="AB210" s="410" t="b">
        <f t="shared" si="45"/>
        <v>0</v>
      </c>
      <c r="AC210" s="408" t="b">
        <f t="shared" si="46"/>
        <v>0</v>
      </c>
      <c r="AF210" s="410">
        <f t="shared" si="49"/>
        <v>0</v>
      </c>
      <c r="AG210" s="410">
        <f t="shared" si="50"/>
        <v>0</v>
      </c>
      <c r="AH210" s="507">
        <f t="shared" si="51"/>
        <v>0</v>
      </c>
      <c r="AI210" s="507">
        <f t="shared" si="48"/>
        <v>0</v>
      </c>
    </row>
    <row r="211" spans="1:35" s="388" customFormat="1" hidden="1">
      <c r="A211" s="421"/>
      <c r="B211" s="478" t="str" cm="1">
        <f t="array" ref="B211">_xlfn.IFS(C210="","",C210="","",AND(D211&lt;&gt;End,D210&lt;&gt;Loop),C210,D211=End,_xlfn.CONCAT(C210,", "&amp;$F$11),D210=Loop,_xlfn.CONCAT($F$11&amp;" x2,1"))</f>
        <v/>
      </c>
      <c r="C211" s="286" t="str">
        <f t="shared" si="32"/>
        <v/>
      </c>
      <c r="D211" s="292" t="str">
        <f t="shared" si="23"/>
        <v/>
      </c>
      <c r="E211" s="293">
        <f t="shared" si="33"/>
        <v>0</v>
      </c>
      <c r="F211" s="287">
        <f t="shared" si="34"/>
        <v>0</v>
      </c>
      <c r="G211" s="293">
        <f t="shared" si="35"/>
        <v>0</v>
      </c>
      <c r="H211" s="288" cm="1">
        <f t="array" ref="H211">IF(D210=Loop,$H$191,_xlfn.IFS($D211=Angle,(E211*J211)+H210,$D211=Loop,$H$190,OR($D211="",$D211=End),H210,OR($D211=Dx,$D211=sx,$D211=up,$D211=down),(E211*J211)+H210))</f>
        <v>0</v>
      </c>
      <c r="I211" s="288" cm="1">
        <f t="array" ref="I211">IF(D210=Loop,$I$191,_xlfn.IFS($D211=Angle,(E211*K211)+I210,$D211=Loop,$I$190,OR($D211="",$D211=End),I210,OR($D211=Dx,$D211=sx,$D211=up,$D211=down),(E211*K211)+I210))</f>
        <v>0</v>
      </c>
      <c r="J211" s="295">
        <f t="shared" si="25"/>
        <v>1</v>
      </c>
      <c r="K211" s="295">
        <f t="shared" si="26"/>
        <v>0</v>
      </c>
      <c r="L211" s="408">
        <f t="shared" si="36"/>
        <v>0</v>
      </c>
      <c r="M211" s="408" t="str">
        <f t="shared" si="37"/>
        <v/>
      </c>
      <c r="N211" s="486" t="str">
        <f t="shared" si="27"/>
        <v/>
      </c>
      <c r="O211" s="408" t="str">
        <f t="shared" si="38"/>
        <v/>
      </c>
      <c r="P211" s="487" t="str">
        <f t="shared" si="39"/>
        <v/>
      </c>
      <c r="Q211" s="569">
        <f t="shared" si="28"/>
        <v>0</v>
      </c>
      <c r="R211" s="569"/>
      <c r="S211" s="277" cm="1">
        <f t="array" ref="S211">+IF(G211=0,0,IF(MOD(G211,SpanTow),_xlfn.FLOOR.MATH(G211/SpanTow),_xlfn.FLOOR.MATH(G211/SpanTow)-1))</f>
        <v>0</v>
      </c>
      <c r="T211" s="290">
        <f t="shared" si="52"/>
        <v>0</v>
      </c>
      <c r="U211" s="291">
        <f t="shared" si="40"/>
        <v>0</v>
      </c>
      <c r="V211" s="409"/>
      <c r="W211" s="388" t="b">
        <f t="shared" si="41"/>
        <v>0</v>
      </c>
      <c r="X211" s="410" t="b">
        <f t="shared" si="30"/>
        <v>0</v>
      </c>
      <c r="Y211" s="498" t="b">
        <f t="shared" si="42"/>
        <v>0</v>
      </c>
      <c r="Z211" s="410" t="b">
        <f t="shared" si="43"/>
        <v>0</v>
      </c>
      <c r="AA211" s="392" t="b">
        <f t="shared" si="44"/>
        <v>0</v>
      </c>
      <c r="AB211" s="410" t="b">
        <f t="shared" si="45"/>
        <v>0</v>
      </c>
      <c r="AC211" s="408" t="b">
        <f t="shared" si="46"/>
        <v>0</v>
      </c>
      <c r="AF211" s="410">
        <f t="shared" si="49"/>
        <v>0</v>
      </c>
      <c r="AG211" s="410">
        <f t="shared" si="50"/>
        <v>0</v>
      </c>
      <c r="AH211" s="507">
        <f t="shared" si="51"/>
        <v>0</v>
      </c>
      <c r="AI211" s="507">
        <f t="shared" si="48"/>
        <v>0</v>
      </c>
    </row>
    <row r="212" spans="1:35" s="388" customFormat="1" hidden="1">
      <c r="A212" s="421"/>
      <c r="B212" s="478" t="str" cm="1">
        <f t="array" ref="B212">_xlfn.IFS(C211="","",C211="","",AND(D212&lt;&gt;End,D211&lt;&gt;Loop),C211,D212=End,_xlfn.CONCAT(C211,", "&amp;$F$11),D211=Loop,_xlfn.CONCAT($F$11&amp;" x2,1"))</f>
        <v/>
      </c>
      <c r="C212" s="286" t="str">
        <f t="shared" si="32"/>
        <v/>
      </c>
      <c r="D212" s="292" t="str">
        <f t="shared" si="23"/>
        <v/>
      </c>
      <c r="E212" s="293">
        <f t="shared" si="33"/>
        <v>0</v>
      </c>
      <c r="F212" s="287">
        <f t="shared" si="34"/>
        <v>0</v>
      </c>
      <c r="G212" s="293">
        <f t="shared" si="35"/>
        <v>0</v>
      </c>
      <c r="H212" s="288" cm="1">
        <f t="array" ref="H212">IF(D211=Loop,$H$191,_xlfn.IFS($D212=Angle,(E212*J212)+H211,$D212=Loop,$H$190,OR($D212="",$D212=End),H211,OR($D212=Dx,$D212=sx,$D212=up,$D212=down),(E212*J212)+H211))</f>
        <v>0</v>
      </c>
      <c r="I212" s="288" cm="1">
        <f t="array" ref="I212">IF(D211=Loop,$I$191,_xlfn.IFS($D212=Angle,(E212*K212)+I211,$D212=Loop,$I$190,OR($D212="",$D212=End),I211,OR($D212=Dx,$D212=sx,$D212=up,$D212=down),(E212*K212)+I211))</f>
        <v>0</v>
      </c>
      <c r="J212" s="295">
        <f t="shared" si="25"/>
        <v>1</v>
      </c>
      <c r="K212" s="295">
        <f t="shared" si="26"/>
        <v>0</v>
      </c>
      <c r="L212" s="408">
        <f t="shared" si="36"/>
        <v>0</v>
      </c>
      <c r="M212" s="408" t="str">
        <f t="shared" si="37"/>
        <v/>
      </c>
      <c r="N212" s="486" t="str">
        <f t="shared" si="27"/>
        <v/>
      </c>
      <c r="O212" s="408" t="str">
        <f t="shared" si="38"/>
        <v/>
      </c>
      <c r="P212" s="487" t="str">
        <f t="shared" si="39"/>
        <v/>
      </c>
      <c r="Q212" s="569">
        <f t="shared" si="28"/>
        <v>0</v>
      </c>
      <c r="R212" s="569"/>
      <c r="S212" s="277" cm="1">
        <f t="array" ref="S212">+IF(G212=0,0,IF(MOD(G212,SpanTow),_xlfn.FLOOR.MATH(G212/SpanTow),_xlfn.FLOOR.MATH(G212/SpanTow)-1))</f>
        <v>0</v>
      </c>
      <c r="T212" s="290">
        <f t="shared" si="52"/>
        <v>0</v>
      </c>
      <c r="U212" s="291">
        <f t="shared" si="40"/>
        <v>0</v>
      </c>
      <c r="V212" s="409"/>
      <c r="W212" s="388" t="b">
        <f t="shared" si="41"/>
        <v>0</v>
      </c>
      <c r="X212" s="410" t="b">
        <f t="shared" si="30"/>
        <v>0</v>
      </c>
      <c r="Y212" s="498" t="b">
        <f t="shared" si="42"/>
        <v>0</v>
      </c>
      <c r="Z212" s="410" t="b">
        <f t="shared" si="43"/>
        <v>0</v>
      </c>
      <c r="AA212" s="392" t="b">
        <f t="shared" si="44"/>
        <v>0</v>
      </c>
      <c r="AB212" s="410" t="b">
        <f t="shared" si="45"/>
        <v>0</v>
      </c>
      <c r="AC212" s="408" t="b">
        <f t="shared" si="46"/>
        <v>0</v>
      </c>
      <c r="AF212" s="410">
        <f t="shared" si="49"/>
        <v>0</v>
      </c>
      <c r="AG212" s="410">
        <f t="shared" si="50"/>
        <v>0</v>
      </c>
      <c r="AH212" s="507">
        <f t="shared" si="51"/>
        <v>0</v>
      </c>
      <c r="AI212" s="507">
        <f t="shared" si="48"/>
        <v>0</v>
      </c>
    </row>
    <row r="213" spans="1:35" s="388" customFormat="1" hidden="1">
      <c r="A213" s="421"/>
      <c r="B213" s="478" t="str" cm="1">
        <f t="array" ref="B213">_xlfn.IFS(C212="","",C212="","",AND(D213&lt;&gt;End,D212&lt;&gt;Loop),C212,D213=End,_xlfn.CONCAT(C212,", "&amp;$F$11),D212=Loop,_xlfn.CONCAT($F$11&amp;" x2,1"))</f>
        <v/>
      </c>
      <c r="C213" s="286" t="str">
        <f t="shared" si="32"/>
        <v/>
      </c>
      <c r="D213" s="292" t="str">
        <f t="shared" si="23"/>
        <v/>
      </c>
      <c r="E213" s="293">
        <f t="shared" si="33"/>
        <v>0</v>
      </c>
      <c r="F213" s="287">
        <f t="shared" si="34"/>
        <v>0</v>
      </c>
      <c r="G213" s="293">
        <f t="shared" si="35"/>
        <v>0</v>
      </c>
      <c r="H213" s="288" cm="1">
        <f t="array" ref="H213">IF(D212=Loop,$H$191,_xlfn.IFS($D213=Angle,(E213*J213)+H212,$D213=Loop,$H$190,OR($D213="",$D213=End),H212,OR($D213=Dx,$D213=sx,$D213=up,$D213=down),(E213*J213)+H212))</f>
        <v>0</v>
      </c>
      <c r="I213" s="288" cm="1">
        <f t="array" ref="I213">IF(D212=Loop,$I$191,_xlfn.IFS($D213=Angle,(E213*K213)+I212,$D213=Loop,$I$190,OR($D213="",$D213=End),I212,OR($D213=Dx,$D213=sx,$D213=up,$D213=down),(E213*K213)+I212))</f>
        <v>0</v>
      </c>
      <c r="J213" s="295">
        <f t="shared" si="25"/>
        <v>1</v>
      </c>
      <c r="K213" s="295">
        <f t="shared" si="26"/>
        <v>0</v>
      </c>
      <c r="L213" s="408">
        <f t="shared" si="36"/>
        <v>0</v>
      </c>
      <c r="M213" s="408" t="str">
        <f t="shared" si="37"/>
        <v/>
      </c>
      <c r="N213" s="486" t="str">
        <f t="shared" si="27"/>
        <v/>
      </c>
      <c r="O213" s="408" t="str">
        <f t="shared" si="38"/>
        <v/>
      </c>
      <c r="P213" s="487" t="str">
        <f t="shared" si="39"/>
        <v/>
      </c>
      <c r="Q213" s="569">
        <f t="shared" si="28"/>
        <v>0</v>
      </c>
      <c r="R213" s="569"/>
      <c r="S213" s="277" cm="1">
        <f t="array" ref="S213">+IF(G213=0,0,IF(MOD(G213,SpanTow),_xlfn.FLOOR.MATH(G213/SpanTow),_xlfn.FLOOR.MATH(G213/SpanTow)-1))</f>
        <v>0</v>
      </c>
      <c r="T213" s="290">
        <f t="shared" si="52"/>
        <v>0</v>
      </c>
      <c r="U213" s="291">
        <f t="shared" si="40"/>
        <v>0</v>
      </c>
      <c r="V213" s="409"/>
      <c r="W213" s="388" t="b">
        <f t="shared" si="41"/>
        <v>0</v>
      </c>
      <c r="X213" s="410" t="b">
        <f t="shared" si="30"/>
        <v>0</v>
      </c>
      <c r="Y213" s="498" t="b">
        <f t="shared" si="42"/>
        <v>0</v>
      </c>
      <c r="Z213" s="410" t="b">
        <f t="shared" si="43"/>
        <v>0</v>
      </c>
      <c r="AA213" s="392" t="b">
        <f t="shared" si="44"/>
        <v>0</v>
      </c>
      <c r="AB213" s="410" t="b">
        <f t="shared" si="45"/>
        <v>0</v>
      </c>
      <c r="AC213" s="408" t="b">
        <f t="shared" si="46"/>
        <v>0</v>
      </c>
      <c r="AF213" s="410">
        <f t="shared" si="49"/>
        <v>0</v>
      </c>
      <c r="AG213" s="410">
        <f t="shared" si="50"/>
        <v>0</v>
      </c>
      <c r="AH213" s="507">
        <f t="shared" si="51"/>
        <v>0</v>
      </c>
      <c r="AI213" s="507">
        <f t="shared" si="48"/>
        <v>0</v>
      </c>
    </row>
    <row r="214" spans="1:35" s="388" customFormat="1" hidden="1">
      <c r="A214" s="421"/>
      <c r="B214" s="478" t="str" cm="1">
        <f t="array" ref="B214">_xlfn.IFS(C213="","",C213="","",AND(D214&lt;&gt;End,D213&lt;&gt;Loop),C213,D214=End,_xlfn.CONCAT(C213,", "&amp;$F$11),D213=Loop,_xlfn.CONCAT($F$11&amp;" x2,1"))</f>
        <v/>
      </c>
      <c r="C214" s="286" t="str">
        <f t="shared" si="32"/>
        <v/>
      </c>
      <c r="D214" s="292" t="str">
        <f t="shared" si="23"/>
        <v/>
      </c>
      <c r="E214" s="293">
        <f t="shared" si="33"/>
        <v>0</v>
      </c>
      <c r="F214" s="287">
        <f t="shared" si="34"/>
        <v>0</v>
      </c>
      <c r="G214" s="293">
        <f t="shared" si="35"/>
        <v>0</v>
      </c>
      <c r="H214" s="288" cm="1">
        <f t="array" ref="H214">IF(D213=Loop,$H$191,_xlfn.IFS($D214=Angle,(E214*J214)+H213,$D214=Loop,$H$190,OR($D214="",$D214=End),H213,OR($D214=Dx,$D214=sx,$D214=up,$D214=down),(E214*J214)+H213))</f>
        <v>0</v>
      </c>
      <c r="I214" s="288" cm="1">
        <f t="array" ref="I214">IF(D213=Loop,$I$191,_xlfn.IFS($D214=Angle,(E214*K214)+I213,$D214=Loop,$I$190,OR($D214="",$D214=End),I213,OR($D214=Dx,$D214=sx,$D214=up,$D214=down),(E214*K214)+I213))</f>
        <v>0</v>
      </c>
      <c r="J214" s="295">
        <f t="shared" si="25"/>
        <v>1</v>
      </c>
      <c r="K214" s="295">
        <f t="shared" si="26"/>
        <v>0</v>
      </c>
      <c r="L214" s="408">
        <f t="shared" si="36"/>
        <v>0</v>
      </c>
      <c r="M214" s="408" t="str">
        <f t="shared" si="37"/>
        <v/>
      </c>
      <c r="N214" s="486" t="str">
        <f t="shared" si="27"/>
        <v/>
      </c>
      <c r="O214" s="408" t="str">
        <f t="shared" si="38"/>
        <v/>
      </c>
      <c r="P214" s="487" t="str">
        <f t="shared" si="39"/>
        <v/>
      </c>
      <c r="Q214" s="569">
        <f t="shared" si="28"/>
        <v>0</v>
      </c>
      <c r="R214" s="569"/>
      <c r="S214" s="277" cm="1">
        <f t="array" ref="S214">+IF(G214=0,0,IF(MOD(G214,SpanTow),_xlfn.FLOOR.MATH(G214/SpanTow),_xlfn.FLOOR.MATH(G214/SpanTow)-1))</f>
        <v>0</v>
      </c>
      <c r="T214" s="290">
        <f t="shared" si="52"/>
        <v>0</v>
      </c>
      <c r="U214" s="291">
        <f t="shared" si="40"/>
        <v>0</v>
      </c>
      <c r="V214" s="409"/>
      <c r="W214" s="388" t="b">
        <f t="shared" si="41"/>
        <v>0</v>
      </c>
      <c r="X214" s="410" t="b">
        <f t="shared" si="30"/>
        <v>0</v>
      </c>
      <c r="Y214" s="498" t="b">
        <f t="shared" si="42"/>
        <v>0</v>
      </c>
      <c r="Z214" s="410" t="b">
        <f t="shared" si="43"/>
        <v>0</v>
      </c>
      <c r="AA214" s="392" t="b">
        <f t="shared" si="44"/>
        <v>0</v>
      </c>
      <c r="AB214" s="410" t="b">
        <f t="shared" si="45"/>
        <v>0</v>
      </c>
      <c r="AC214" s="408" t="b">
        <f t="shared" si="46"/>
        <v>0</v>
      </c>
      <c r="AF214" s="410">
        <f t="shared" si="49"/>
        <v>0</v>
      </c>
      <c r="AG214" s="410">
        <f t="shared" si="50"/>
        <v>0</v>
      </c>
      <c r="AH214" s="507">
        <f t="shared" si="51"/>
        <v>0</v>
      </c>
      <c r="AI214" s="507">
        <f t="shared" si="48"/>
        <v>0</v>
      </c>
    </row>
    <row r="215" spans="1:35" s="388" customFormat="1" hidden="1">
      <c r="A215" s="421"/>
      <c r="B215" s="478" t="str" cm="1">
        <f t="array" ref="B215">_xlfn.IFS(C214="","",C214="","",AND(D215&lt;&gt;End,D214&lt;&gt;Loop),C214,D215=End,_xlfn.CONCAT(C214,", "&amp;$F$11),D214=Loop,_xlfn.CONCAT($F$11&amp;" x2,1"))</f>
        <v/>
      </c>
      <c r="C215" s="286" t="str">
        <f t="shared" si="32"/>
        <v/>
      </c>
      <c r="D215" s="292" t="str">
        <f t="shared" si="23"/>
        <v/>
      </c>
      <c r="E215" s="293">
        <f t="shared" si="33"/>
        <v>0</v>
      </c>
      <c r="F215" s="287">
        <f t="shared" si="34"/>
        <v>0</v>
      </c>
      <c r="G215" s="293">
        <f t="shared" si="35"/>
        <v>0</v>
      </c>
      <c r="H215" s="288" cm="1">
        <f t="array" ref="H215">IF(D214=Loop,$H$191,_xlfn.IFS($D215=Angle,(E215*J215)+H214,$D215=Loop,$H$190,OR($D215="",$D215=End),H214,OR($D215=Dx,$D215=sx,$D215=up,$D215=down),(E215*J215)+H214))</f>
        <v>0</v>
      </c>
      <c r="I215" s="288" cm="1">
        <f t="array" ref="I215">IF(D214=Loop,$I$191,_xlfn.IFS($D215=Angle,(E215*K215)+I214,$D215=Loop,$I$190,OR($D215="",$D215=End),I214,OR($D215=Dx,$D215=sx,$D215=up,$D215=down),(E215*K215)+I214))</f>
        <v>0</v>
      </c>
      <c r="J215" s="295">
        <f t="shared" si="25"/>
        <v>1</v>
      </c>
      <c r="K215" s="295">
        <f t="shared" si="26"/>
        <v>0</v>
      </c>
      <c r="L215" s="408">
        <f t="shared" si="36"/>
        <v>0</v>
      </c>
      <c r="M215" s="408" t="str">
        <f t="shared" si="37"/>
        <v/>
      </c>
      <c r="N215" s="486" t="str">
        <f t="shared" si="27"/>
        <v/>
      </c>
      <c r="O215" s="408" t="str">
        <f t="shared" si="38"/>
        <v/>
      </c>
      <c r="P215" s="487" t="str">
        <f t="shared" si="39"/>
        <v/>
      </c>
      <c r="Q215" s="569">
        <f t="shared" si="28"/>
        <v>0</v>
      </c>
      <c r="R215" s="569"/>
      <c r="S215" s="277" cm="1">
        <f t="array" ref="S215">+IF(G215=0,0,IF(MOD(G215,SpanTow),_xlfn.FLOOR.MATH(G215/SpanTow),_xlfn.FLOOR.MATH(G215/SpanTow)-1))</f>
        <v>0</v>
      </c>
      <c r="T215" s="290">
        <f t="shared" si="52"/>
        <v>0</v>
      </c>
      <c r="U215" s="291">
        <f t="shared" si="40"/>
        <v>0</v>
      </c>
      <c r="V215" s="409"/>
      <c r="W215" s="388" t="b">
        <f t="shared" si="41"/>
        <v>0</v>
      </c>
      <c r="X215" s="410" t="b">
        <f t="shared" si="30"/>
        <v>0</v>
      </c>
      <c r="Y215" s="498" t="b">
        <f t="shared" si="42"/>
        <v>0</v>
      </c>
      <c r="Z215" s="410" t="b">
        <f t="shared" si="43"/>
        <v>0</v>
      </c>
      <c r="AA215" s="392" t="b">
        <f t="shared" si="44"/>
        <v>0</v>
      </c>
      <c r="AB215" s="410" t="b">
        <f t="shared" si="45"/>
        <v>0</v>
      </c>
      <c r="AC215" s="408" t="b">
        <f t="shared" si="46"/>
        <v>0</v>
      </c>
      <c r="AF215" s="410">
        <f t="shared" si="49"/>
        <v>0</v>
      </c>
      <c r="AG215" s="410">
        <f t="shared" si="50"/>
        <v>0</v>
      </c>
      <c r="AH215" s="507">
        <f t="shared" si="51"/>
        <v>0</v>
      </c>
      <c r="AI215" s="507">
        <f t="shared" si="48"/>
        <v>0</v>
      </c>
    </row>
    <row r="216" spans="1:35" s="388" customFormat="1" hidden="1">
      <c r="A216" s="421"/>
      <c r="B216" s="478" t="str" cm="1">
        <f t="array" ref="B216">_xlfn.IFS(C215="","",C215="","",AND(D216&lt;&gt;End,D215&lt;&gt;Loop),C215,D216=End,_xlfn.CONCAT(C215,", "&amp;$F$11),D215=Loop,_xlfn.CONCAT($F$11&amp;" x2,1"))</f>
        <v/>
      </c>
      <c r="C216" s="286" t="str">
        <f t="shared" si="32"/>
        <v/>
      </c>
      <c r="D216" s="292" t="str">
        <f t="shared" si="23"/>
        <v/>
      </c>
      <c r="E216" s="293">
        <f t="shared" si="33"/>
        <v>0</v>
      </c>
      <c r="F216" s="287">
        <f t="shared" si="34"/>
        <v>0</v>
      </c>
      <c r="G216" s="293">
        <f t="shared" si="35"/>
        <v>0</v>
      </c>
      <c r="H216" s="288" cm="1">
        <f t="array" ref="H216">IF(D215=Loop,$H$191,_xlfn.IFS($D216=Angle,(E216*J216)+H215,$D216=Loop,$H$190,OR($D216="",$D216=End),H215,OR($D216=Dx,$D216=sx,$D216=up,$D216=down),(E216*J216)+H215))</f>
        <v>0</v>
      </c>
      <c r="I216" s="288" cm="1">
        <f t="array" ref="I216">IF(D215=Loop,$I$191,_xlfn.IFS($D216=Angle,(E216*K216)+I215,$D216=Loop,$I$190,OR($D216="",$D216=End),I215,OR($D216=Dx,$D216=sx,$D216=up,$D216=down),(E216*K216)+I215))</f>
        <v>0</v>
      </c>
      <c r="J216" s="295">
        <f t="shared" si="25"/>
        <v>1</v>
      </c>
      <c r="K216" s="295">
        <f t="shared" si="26"/>
        <v>0</v>
      </c>
      <c r="L216" s="408">
        <f t="shared" si="36"/>
        <v>0</v>
      </c>
      <c r="M216" s="408" t="str">
        <f t="shared" si="37"/>
        <v/>
      </c>
      <c r="N216" s="486" t="str">
        <f t="shared" si="27"/>
        <v/>
      </c>
      <c r="O216" s="408" t="str">
        <f t="shared" si="38"/>
        <v/>
      </c>
      <c r="P216" s="487" t="str">
        <f t="shared" si="39"/>
        <v/>
      </c>
      <c r="Q216" s="569">
        <f t="shared" si="28"/>
        <v>0</v>
      </c>
      <c r="R216" s="569"/>
      <c r="S216" s="277" cm="1">
        <f t="array" ref="S216">+IF(G216=0,0,IF(MOD(G216,SpanTow),_xlfn.FLOOR.MATH(G216/SpanTow),_xlfn.FLOOR.MATH(G216/SpanTow)-1))</f>
        <v>0</v>
      </c>
      <c r="T216" s="290">
        <f t="shared" si="52"/>
        <v>0</v>
      </c>
      <c r="U216" s="291">
        <f t="shared" si="40"/>
        <v>0</v>
      </c>
      <c r="V216" s="409"/>
      <c r="W216" s="388" t="b">
        <f t="shared" si="41"/>
        <v>0</v>
      </c>
      <c r="X216" s="410" t="b">
        <f t="shared" si="30"/>
        <v>0</v>
      </c>
      <c r="Y216" s="498" t="b">
        <f t="shared" si="42"/>
        <v>0</v>
      </c>
      <c r="Z216" s="410" t="b">
        <f t="shared" si="43"/>
        <v>0</v>
      </c>
      <c r="AA216" s="392" t="b">
        <f t="shared" si="44"/>
        <v>0</v>
      </c>
      <c r="AB216" s="410" t="b">
        <f t="shared" si="45"/>
        <v>0</v>
      </c>
      <c r="AC216" s="408" t="b">
        <f t="shared" si="46"/>
        <v>0</v>
      </c>
      <c r="AF216" s="410">
        <f t="shared" si="49"/>
        <v>0</v>
      </c>
      <c r="AG216" s="410">
        <f t="shared" si="50"/>
        <v>0</v>
      </c>
      <c r="AH216" s="507">
        <f t="shared" si="51"/>
        <v>0</v>
      </c>
      <c r="AI216" s="507">
        <f t="shared" si="48"/>
        <v>0</v>
      </c>
    </row>
    <row r="217" spans="1:35" s="388" customFormat="1" hidden="1">
      <c r="A217" s="421"/>
      <c r="B217" s="478" t="str" cm="1">
        <f t="array" ref="B217">_xlfn.IFS(C216="","",C216="","",AND(D217&lt;&gt;End,D216&lt;&gt;Loop),C216,D217=End,_xlfn.CONCAT(C216,", "&amp;$F$11),D216=Loop,_xlfn.CONCAT($F$11&amp;" x2,1"))</f>
        <v/>
      </c>
      <c r="C217" s="286" t="str">
        <f t="shared" si="32"/>
        <v/>
      </c>
      <c r="D217" s="292" t="str">
        <f t="shared" si="23"/>
        <v/>
      </c>
      <c r="E217" s="293">
        <f t="shared" si="33"/>
        <v>0</v>
      </c>
      <c r="F217" s="287">
        <f t="shared" si="34"/>
        <v>0</v>
      </c>
      <c r="G217" s="293">
        <f t="shared" si="35"/>
        <v>0</v>
      </c>
      <c r="H217" s="288" cm="1">
        <f t="array" ref="H217">IF(D216=Loop,$H$191,_xlfn.IFS($D217=Angle,(E217*J217)+H216,$D217=Loop,$H$190,OR($D217="",$D217=End),H216,OR($D217=Dx,$D217=sx,$D217=up,$D217=down),(E217*J217)+H216))</f>
        <v>0</v>
      </c>
      <c r="I217" s="288" cm="1">
        <f t="array" ref="I217">IF(D216=Loop,$I$191,_xlfn.IFS($D217=Angle,(E217*K217)+I216,$D217=Loop,$I$190,OR($D217="",$D217=End),I216,OR($D217=Dx,$D217=sx,$D217=up,$D217=down),(E217*K217)+I216))</f>
        <v>0</v>
      </c>
      <c r="J217" s="295">
        <f t="shared" si="25"/>
        <v>1</v>
      </c>
      <c r="K217" s="295">
        <f t="shared" si="26"/>
        <v>0</v>
      </c>
      <c r="L217" s="408">
        <f t="shared" si="36"/>
        <v>0</v>
      </c>
      <c r="M217" s="408" t="str">
        <f t="shared" si="37"/>
        <v/>
      </c>
      <c r="N217" s="486" t="str">
        <f t="shared" si="27"/>
        <v/>
      </c>
      <c r="O217" s="408" t="str">
        <f t="shared" si="38"/>
        <v/>
      </c>
      <c r="P217" s="487" t="str">
        <f t="shared" si="39"/>
        <v/>
      </c>
      <c r="Q217" s="569">
        <f t="shared" si="28"/>
        <v>0</v>
      </c>
      <c r="R217" s="569"/>
      <c r="S217" s="277" cm="1">
        <f t="array" ref="S217">+IF(G217=0,0,IF(MOD(G217,SpanTow),_xlfn.FLOOR.MATH(G217/SpanTow),_xlfn.FLOOR.MATH(G217/SpanTow)-1))</f>
        <v>0</v>
      </c>
      <c r="T217" s="290">
        <f t="shared" si="52"/>
        <v>0</v>
      </c>
      <c r="U217" s="291">
        <f t="shared" si="40"/>
        <v>0</v>
      </c>
      <c r="V217" s="409"/>
      <c r="W217" s="388" t="b">
        <f t="shared" si="41"/>
        <v>0</v>
      </c>
      <c r="X217" s="410" t="b">
        <f t="shared" si="30"/>
        <v>0</v>
      </c>
      <c r="Y217" s="498" t="b">
        <f t="shared" si="42"/>
        <v>0</v>
      </c>
      <c r="Z217" s="410" t="b">
        <f t="shared" si="43"/>
        <v>0</v>
      </c>
      <c r="AA217" s="392" t="b">
        <f t="shared" si="44"/>
        <v>0</v>
      </c>
      <c r="AB217" s="410" t="b">
        <f t="shared" si="45"/>
        <v>0</v>
      </c>
      <c r="AC217" s="408" t="b">
        <f t="shared" si="46"/>
        <v>0</v>
      </c>
      <c r="AF217" s="410">
        <f t="shared" si="49"/>
        <v>0</v>
      </c>
      <c r="AG217" s="410">
        <f t="shared" si="50"/>
        <v>0</v>
      </c>
      <c r="AH217" s="507">
        <f t="shared" si="51"/>
        <v>0</v>
      </c>
      <c r="AI217" s="507">
        <f t="shared" si="48"/>
        <v>0</v>
      </c>
    </row>
    <row r="218" spans="1:35" s="388" customFormat="1" hidden="1">
      <c r="A218" s="421"/>
      <c r="B218" s="478" t="str" cm="1">
        <f t="array" ref="B218">_xlfn.IFS(C217="","",C217="","",AND(D218&lt;&gt;End,D217&lt;&gt;Loop),C217,D218=End,_xlfn.CONCAT(C217,", "&amp;$F$11),D217=Loop,_xlfn.CONCAT($F$11&amp;" x2,1"))</f>
        <v/>
      </c>
      <c r="C218" s="286" t="str">
        <f t="shared" si="32"/>
        <v/>
      </c>
      <c r="D218" s="292" t="str">
        <f t="shared" si="23"/>
        <v/>
      </c>
      <c r="E218" s="293">
        <f t="shared" si="33"/>
        <v>0</v>
      </c>
      <c r="F218" s="287">
        <f t="shared" si="34"/>
        <v>0</v>
      </c>
      <c r="G218" s="293">
        <f t="shared" si="35"/>
        <v>0</v>
      </c>
      <c r="H218" s="288" cm="1">
        <f t="array" ref="H218">IF(D217=Loop,$H$191,_xlfn.IFS($D218=Angle,(E218*J218)+H217,$D218=Loop,$H$190,OR($D218="",$D218=End),H217,OR($D218=Dx,$D218=sx,$D218=up,$D218=down),(E218*J218)+H217))</f>
        <v>0</v>
      </c>
      <c r="I218" s="288" cm="1">
        <f t="array" ref="I218">IF(D217=Loop,$I$191,_xlfn.IFS($D218=Angle,(E218*K218)+I217,$D218=Loop,$I$190,OR($D218="",$D218=End),I217,OR($D218=Dx,$D218=sx,$D218=up,$D218=down),(E218*K218)+I217))</f>
        <v>0</v>
      </c>
      <c r="J218" s="295">
        <f t="shared" si="25"/>
        <v>1</v>
      </c>
      <c r="K218" s="295">
        <f t="shared" si="26"/>
        <v>0</v>
      </c>
      <c r="L218" s="408">
        <f t="shared" si="36"/>
        <v>0</v>
      </c>
      <c r="M218" s="408" t="str">
        <f t="shared" si="37"/>
        <v/>
      </c>
      <c r="N218" s="486" t="str">
        <f t="shared" si="27"/>
        <v/>
      </c>
      <c r="O218" s="408" t="str">
        <f t="shared" si="38"/>
        <v/>
      </c>
      <c r="P218" s="487" t="str">
        <f t="shared" si="39"/>
        <v/>
      </c>
      <c r="Q218" s="569">
        <f t="shared" si="28"/>
        <v>0</v>
      </c>
      <c r="R218" s="569"/>
      <c r="S218" s="277" cm="1">
        <f t="array" ref="S218">+IF(G218=0,0,IF(MOD(G218,SpanTow),_xlfn.FLOOR.MATH(G218/SpanTow),_xlfn.FLOOR.MATH(G218/SpanTow)-1))</f>
        <v>0</v>
      </c>
      <c r="T218" s="290">
        <f t="shared" si="52"/>
        <v>0</v>
      </c>
      <c r="U218" s="291">
        <f t="shared" si="40"/>
        <v>0</v>
      </c>
      <c r="V218" s="409"/>
      <c r="W218" s="388" t="b">
        <f t="shared" si="41"/>
        <v>0</v>
      </c>
      <c r="X218" s="410" t="b">
        <f t="shared" si="30"/>
        <v>0</v>
      </c>
      <c r="Y218" s="498" t="b">
        <f t="shared" si="42"/>
        <v>0</v>
      </c>
      <c r="Z218" s="410" t="b">
        <f t="shared" si="43"/>
        <v>0</v>
      </c>
      <c r="AA218" s="392" t="b">
        <f t="shared" si="44"/>
        <v>0</v>
      </c>
      <c r="AB218" s="410" t="b">
        <f t="shared" si="45"/>
        <v>0</v>
      </c>
      <c r="AC218" s="408" t="b">
        <f t="shared" si="46"/>
        <v>0</v>
      </c>
      <c r="AF218" s="410">
        <f t="shared" si="49"/>
        <v>0</v>
      </c>
      <c r="AG218" s="410">
        <f t="shared" si="50"/>
        <v>0</v>
      </c>
      <c r="AH218" s="507">
        <f t="shared" si="51"/>
        <v>0</v>
      </c>
      <c r="AI218" s="507">
        <f t="shared" si="48"/>
        <v>0</v>
      </c>
    </row>
    <row r="219" spans="1:35" s="388" customFormat="1" hidden="1">
      <c r="A219" s="421"/>
      <c r="B219" s="478" t="str" cm="1">
        <f t="array" ref="B219">_xlfn.IFS(C218="","",C218="","",AND(D219&lt;&gt;End,D218&lt;&gt;Loop),C218,D219=End,_xlfn.CONCAT(C218,", "&amp;$F$11),D218=Loop,_xlfn.CONCAT($F$11&amp;" x2,1"))</f>
        <v/>
      </c>
      <c r="C219" s="286" t="str">
        <f t="shared" si="32"/>
        <v/>
      </c>
      <c r="D219" s="292" t="str">
        <f t="shared" si="23"/>
        <v/>
      </c>
      <c r="E219" s="293">
        <f t="shared" si="33"/>
        <v>0</v>
      </c>
      <c r="F219" s="287">
        <f t="shared" si="34"/>
        <v>0</v>
      </c>
      <c r="G219" s="293">
        <f t="shared" si="35"/>
        <v>0</v>
      </c>
      <c r="H219" s="288" cm="1">
        <f t="array" ref="H219">IF(D218=Loop,$H$191,_xlfn.IFS($D219=Angle,(E219*J219)+H218,$D219=Loop,$H$190,OR($D219="",$D219=End),H218,OR($D219=Dx,$D219=sx,$D219=up,$D219=down),(E219*J219)+H218))</f>
        <v>0</v>
      </c>
      <c r="I219" s="288" cm="1">
        <f t="array" ref="I219">IF(D218=Loop,$I$191,_xlfn.IFS($D219=Angle,(E219*K219)+I218,$D219=Loop,$I$190,OR($D219="",$D219=End),I218,OR($D219=Dx,$D219=sx,$D219=up,$D219=down),(E219*K219)+I218))</f>
        <v>0</v>
      </c>
      <c r="J219" s="295">
        <f t="shared" si="25"/>
        <v>1</v>
      </c>
      <c r="K219" s="295">
        <f t="shared" si="26"/>
        <v>0</v>
      </c>
      <c r="L219" s="408">
        <f t="shared" si="36"/>
        <v>0</v>
      </c>
      <c r="M219" s="408" t="str">
        <f t="shared" si="37"/>
        <v/>
      </c>
      <c r="N219" s="486" t="str">
        <f t="shared" si="27"/>
        <v/>
      </c>
      <c r="O219" s="408" t="str">
        <f t="shared" si="38"/>
        <v/>
      </c>
      <c r="P219" s="487" t="str">
        <f t="shared" si="39"/>
        <v/>
      </c>
      <c r="Q219" s="569">
        <f t="shared" si="28"/>
        <v>0</v>
      </c>
      <c r="R219" s="569"/>
      <c r="S219" s="277" cm="1">
        <f t="array" ref="S219">+IF(G219=0,0,IF(MOD(G219,SpanTow),_xlfn.FLOOR.MATH(G219/SpanTow),_xlfn.FLOOR.MATH(G219/SpanTow)-1))</f>
        <v>0</v>
      </c>
      <c r="T219" s="290">
        <f t="shared" si="52"/>
        <v>0</v>
      </c>
      <c r="U219" s="291">
        <f t="shared" si="40"/>
        <v>0</v>
      </c>
      <c r="V219" s="409"/>
      <c r="W219" s="388" t="b">
        <f t="shared" si="41"/>
        <v>0</v>
      </c>
      <c r="X219" s="410" t="b">
        <f t="shared" si="30"/>
        <v>0</v>
      </c>
      <c r="Y219" s="498" t="b">
        <f t="shared" si="42"/>
        <v>0</v>
      </c>
      <c r="Z219" s="410" t="b">
        <f t="shared" si="43"/>
        <v>0</v>
      </c>
      <c r="AA219" s="392" t="b">
        <f t="shared" si="44"/>
        <v>0</v>
      </c>
      <c r="AB219" s="410" t="b">
        <f t="shared" si="45"/>
        <v>0</v>
      </c>
      <c r="AC219" s="408" t="b">
        <f t="shared" si="46"/>
        <v>0</v>
      </c>
      <c r="AF219" s="410">
        <f t="shared" si="49"/>
        <v>0</v>
      </c>
      <c r="AG219" s="410">
        <f t="shared" si="50"/>
        <v>0</v>
      </c>
      <c r="AH219" s="507">
        <f t="shared" si="51"/>
        <v>0</v>
      </c>
      <c r="AI219" s="507">
        <f t="shared" si="48"/>
        <v>0</v>
      </c>
    </row>
    <row r="220" spans="1:35" s="388" customFormat="1" hidden="1">
      <c r="A220" s="421"/>
      <c r="B220" s="478" t="str" cm="1">
        <f t="array" ref="B220">_xlfn.IFS(C219="","",C219="","",AND(D220&lt;&gt;End,D219&lt;&gt;Loop),C219,D220=End,_xlfn.CONCAT(C219,", "&amp;$F$11),D219=Loop,_xlfn.CONCAT($F$11&amp;" x2,1"))</f>
        <v/>
      </c>
      <c r="C220" s="286" t="str">
        <f t="shared" si="32"/>
        <v/>
      </c>
      <c r="D220" s="292" t="str">
        <f t="shared" si="23"/>
        <v/>
      </c>
      <c r="E220" s="293">
        <f t="shared" si="33"/>
        <v>0</v>
      </c>
      <c r="F220" s="287">
        <f t="shared" si="34"/>
        <v>0</v>
      </c>
      <c r="G220" s="293">
        <f t="shared" si="35"/>
        <v>0</v>
      </c>
      <c r="H220" s="288" cm="1">
        <f t="array" ref="H220">IF(D219=Loop,$H$191,_xlfn.IFS($D220=Angle,(E220*J220)+H219,$D220=Loop,$H$190,OR($D220="",$D220=End),H219,OR($D220=Dx,$D220=sx,$D220=up,$D220=down),(E220*J220)+H219))</f>
        <v>0</v>
      </c>
      <c r="I220" s="288" cm="1">
        <f t="array" ref="I220">IF(D219=Loop,$I$191,_xlfn.IFS($D220=Angle,(E220*K220)+I219,$D220=Loop,$I$190,OR($D220="",$D220=End),I219,OR($D220=Dx,$D220=sx,$D220=up,$D220=down),(E220*K220)+I219))</f>
        <v>0</v>
      </c>
      <c r="J220" s="295">
        <f t="shared" si="25"/>
        <v>1</v>
      </c>
      <c r="K220" s="295">
        <f t="shared" si="26"/>
        <v>0</v>
      </c>
      <c r="L220" s="408">
        <f t="shared" si="36"/>
        <v>0</v>
      </c>
      <c r="M220" s="408" t="str">
        <f t="shared" si="37"/>
        <v/>
      </c>
      <c r="N220" s="486" t="str">
        <f t="shared" si="27"/>
        <v/>
      </c>
      <c r="O220" s="408" t="str">
        <f t="shared" si="38"/>
        <v/>
      </c>
      <c r="P220" s="487" t="str">
        <f t="shared" si="39"/>
        <v/>
      </c>
      <c r="Q220" s="569">
        <f t="shared" si="28"/>
        <v>0</v>
      </c>
      <c r="R220" s="569"/>
      <c r="S220" s="277" cm="1">
        <f t="array" ref="S220">+IF(G220=0,0,IF(MOD(G220,SpanTow),_xlfn.FLOOR.MATH(G220/SpanTow),_xlfn.FLOOR.MATH(G220/SpanTow)-1))</f>
        <v>0</v>
      </c>
      <c r="T220" s="290">
        <f t="shared" si="52"/>
        <v>0</v>
      </c>
      <c r="U220" s="291">
        <f t="shared" si="40"/>
        <v>0</v>
      </c>
      <c r="V220" s="409"/>
      <c r="W220" s="388" t="b">
        <f t="shared" si="41"/>
        <v>0</v>
      </c>
      <c r="X220" s="410" t="b">
        <f t="shared" si="30"/>
        <v>0</v>
      </c>
      <c r="Y220" s="498" t="b">
        <f t="shared" si="42"/>
        <v>0</v>
      </c>
      <c r="Z220" s="410" t="b">
        <f t="shared" si="43"/>
        <v>0</v>
      </c>
      <c r="AA220" s="392" t="b">
        <f t="shared" si="44"/>
        <v>0</v>
      </c>
      <c r="AB220" s="410" t="b">
        <f t="shared" si="45"/>
        <v>0</v>
      </c>
      <c r="AC220" s="408" t="b">
        <f t="shared" si="46"/>
        <v>0</v>
      </c>
      <c r="AF220" s="410">
        <f t="shared" si="49"/>
        <v>0</v>
      </c>
      <c r="AG220" s="410">
        <f t="shared" si="50"/>
        <v>0</v>
      </c>
      <c r="AH220" s="507">
        <f t="shared" si="51"/>
        <v>0</v>
      </c>
      <c r="AI220" s="507">
        <f t="shared" si="48"/>
        <v>0</v>
      </c>
    </row>
    <row r="221" spans="1:35" s="388" customFormat="1" hidden="1">
      <c r="A221" s="421"/>
      <c r="B221" s="478" t="str" cm="1">
        <f t="array" ref="B221">_xlfn.IFS(C220="","",C220="","",AND(D221&lt;&gt;End,D220&lt;&gt;Loop),C220,D221=End,_xlfn.CONCAT(C220,", "&amp;$F$11),D220=Loop,_xlfn.CONCAT($F$11&amp;" x2,1"))</f>
        <v/>
      </c>
      <c r="C221" s="286" t="str">
        <f t="shared" si="32"/>
        <v/>
      </c>
      <c r="D221" s="292" t="str">
        <f t="shared" si="23"/>
        <v/>
      </c>
      <c r="E221" s="293">
        <f t="shared" si="33"/>
        <v>0</v>
      </c>
      <c r="F221" s="287">
        <f t="shared" si="34"/>
        <v>0</v>
      </c>
      <c r="G221" s="293">
        <f t="shared" si="35"/>
        <v>0</v>
      </c>
      <c r="H221" s="288" cm="1">
        <f t="array" ref="H221">IF(D220=Loop,$H$191,_xlfn.IFS($D221=Angle,(E221*J221)+H220,$D221=Loop,$H$190,OR($D221="",$D221=End),H220,OR($D221=Dx,$D221=sx,$D221=up,$D221=down),(E221*J221)+H220))</f>
        <v>0</v>
      </c>
      <c r="I221" s="288" cm="1">
        <f t="array" ref="I221">IF(D220=Loop,$I$191,_xlfn.IFS($D221=Angle,(E221*K221)+I220,$D221=Loop,$I$190,OR($D221="",$D221=End),I220,OR($D221=Dx,$D221=sx,$D221=up,$D221=down),(E221*K221)+I220))</f>
        <v>0</v>
      </c>
      <c r="J221" s="295">
        <f t="shared" si="25"/>
        <v>1</v>
      </c>
      <c r="K221" s="295">
        <f t="shared" si="26"/>
        <v>0</v>
      </c>
      <c r="L221" s="408">
        <f t="shared" si="36"/>
        <v>0</v>
      </c>
      <c r="M221" s="408" t="str">
        <f t="shared" si="37"/>
        <v/>
      </c>
      <c r="N221" s="486" t="str">
        <f t="shared" si="27"/>
        <v/>
      </c>
      <c r="O221" s="408" t="str">
        <f t="shared" si="38"/>
        <v/>
      </c>
      <c r="P221" s="487" t="str">
        <f t="shared" si="39"/>
        <v/>
      </c>
      <c r="Q221" s="569">
        <f t="shared" si="28"/>
        <v>0</v>
      </c>
      <c r="R221" s="569"/>
      <c r="S221" s="277" cm="1">
        <f t="array" ref="S221">+IF(G221=0,0,IF(MOD(G221,SpanTow),_xlfn.FLOOR.MATH(G221/SpanTow),_xlfn.FLOOR.MATH(G221/SpanTow)-1))</f>
        <v>0</v>
      </c>
      <c r="T221" s="290">
        <f t="shared" si="52"/>
        <v>0</v>
      </c>
      <c r="U221" s="291">
        <f t="shared" si="40"/>
        <v>0</v>
      </c>
      <c r="V221" s="409"/>
      <c r="W221" s="388" t="b">
        <f t="shared" si="41"/>
        <v>0</v>
      </c>
      <c r="X221" s="410" t="b">
        <f t="shared" si="30"/>
        <v>0</v>
      </c>
      <c r="Y221" s="498" t="b">
        <f t="shared" si="42"/>
        <v>0</v>
      </c>
      <c r="Z221" s="410" t="b">
        <f t="shared" si="43"/>
        <v>0</v>
      </c>
      <c r="AA221" s="392" t="b">
        <f t="shared" si="44"/>
        <v>0</v>
      </c>
      <c r="AB221" s="410" t="b">
        <f t="shared" si="45"/>
        <v>0</v>
      </c>
      <c r="AC221" s="408" t="b">
        <f t="shared" si="46"/>
        <v>0</v>
      </c>
      <c r="AF221" s="410">
        <f t="shared" si="49"/>
        <v>0</v>
      </c>
      <c r="AG221" s="410">
        <f t="shared" si="50"/>
        <v>0</v>
      </c>
      <c r="AH221" s="507">
        <f t="shared" si="51"/>
        <v>0</v>
      </c>
      <c r="AI221" s="507">
        <f t="shared" si="48"/>
        <v>0</v>
      </c>
    </row>
    <row r="222" spans="1:35" s="388" customFormat="1" hidden="1">
      <c r="A222" s="421"/>
      <c r="B222" s="478" t="str" cm="1">
        <f t="array" ref="B222">_xlfn.IFS(C221="","",C221="","",AND(D222&lt;&gt;End,D221&lt;&gt;Loop),C221,D222=End,_xlfn.CONCAT(C221,", "&amp;$F$11),D221=Loop,_xlfn.CONCAT($F$11&amp;" x2,1"))</f>
        <v/>
      </c>
      <c r="C222" s="286" t="str">
        <f t="shared" si="32"/>
        <v/>
      </c>
      <c r="D222" s="292" t="str">
        <f t="shared" si="23"/>
        <v/>
      </c>
      <c r="E222" s="293">
        <f t="shared" si="33"/>
        <v>0</v>
      </c>
      <c r="F222" s="287">
        <f t="shared" si="34"/>
        <v>0</v>
      </c>
      <c r="G222" s="293">
        <f t="shared" si="35"/>
        <v>0</v>
      </c>
      <c r="H222" s="288" cm="1">
        <f t="array" ref="H222">IF(D221=Loop,$H$191,_xlfn.IFS($D222=Angle,(E222*J222)+H221,$D222=Loop,$H$190,OR($D222="",$D222=End),H221,OR($D222=Dx,$D222=sx,$D222=up,$D222=down),(E222*J222)+H221))</f>
        <v>0</v>
      </c>
      <c r="I222" s="288" cm="1">
        <f t="array" ref="I222">IF(D221=Loop,$I$191,_xlfn.IFS($D222=Angle,(E222*K222)+I221,$D222=Loop,$I$190,OR($D222="",$D222=End),I221,OR($D222=Dx,$D222=sx,$D222=up,$D222=down),(E222*K222)+I221))</f>
        <v>0</v>
      </c>
      <c r="J222" s="295">
        <f t="shared" si="25"/>
        <v>1</v>
      </c>
      <c r="K222" s="295">
        <f t="shared" si="26"/>
        <v>0</v>
      </c>
      <c r="L222" s="408">
        <f t="shared" si="36"/>
        <v>0</v>
      </c>
      <c r="M222" s="408" t="str">
        <f t="shared" si="37"/>
        <v/>
      </c>
      <c r="N222" s="486" t="str">
        <f t="shared" si="27"/>
        <v/>
      </c>
      <c r="O222" s="408" t="str">
        <f t="shared" si="38"/>
        <v/>
      </c>
      <c r="P222" s="487" t="str">
        <f t="shared" si="39"/>
        <v/>
      </c>
      <c r="Q222" s="569">
        <f t="shared" si="28"/>
        <v>0</v>
      </c>
      <c r="R222" s="569"/>
      <c r="S222" s="277" cm="1">
        <f t="array" ref="S222">+IF(G222=0,0,IF(MOD(G222,SpanTow),_xlfn.FLOOR.MATH(G222/SpanTow),_xlfn.FLOOR.MATH(G222/SpanTow)-1))</f>
        <v>0</v>
      </c>
      <c r="T222" s="290">
        <f t="shared" si="52"/>
        <v>0</v>
      </c>
      <c r="U222" s="291">
        <f t="shared" si="40"/>
        <v>0</v>
      </c>
      <c r="V222" s="409"/>
      <c r="W222" s="388" t="b">
        <f t="shared" si="41"/>
        <v>0</v>
      </c>
      <c r="X222" s="410" t="b">
        <f t="shared" si="30"/>
        <v>0</v>
      </c>
      <c r="Y222" s="498" t="b">
        <f t="shared" si="42"/>
        <v>0</v>
      </c>
      <c r="Z222" s="410" t="b">
        <f t="shared" si="43"/>
        <v>0</v>
      </c>
      <c r="AA222" s="392" t="b">
        <f t="shared" si="44"/>
        <v>0</v>
      </c>
      <c r="AB222" s="410" t="b">
        <f t="shared" si="45"/>
        <v>0</v>
      </c>
      <c r="AC222" s="408" t="b">
        <f t="shared" si="46"/>
        <v>0</v>
      </c>
      <c r="AF222" s="410">
        <f t="shared" si="49"/>
        <v>0</v>
      </c>
      <c r="AG222" s="410">
        <f t="shared" si="50"/>
        <v>0</v>
      </c>
      <c r="AH222" s="507">
        <f t="shared" si="51"/>
        <v>0</v>
      </c>
      <c r="AI222" s="507">
        <f t="shared" si="48"/>
        <v>0</v>
      </c>
    </row>
    <row r="223" spans="1:35" s="388" customFormat="1" hidden="1">
      <c r="A223" s="421"/>
      <c r="B223" s="478" t="str" cm="1">
        <f t="array" ref="B223">_xlfn.IFS(C222="","",C222="","",AND(D223&lt;&gt;End,D222&lt;&gt;Loop),C222,D223=End,_xlfn.CONCAT(C222,", "&amp;$F$11),D222=Loop,_xlfn.CONCAT($F$11&amp;" x2,1"))</f>
        <v/>
      </c>
      <c r="C223" s="286" t="str">
        <f t="shared" si="32"/>
        <v/>
      </c>
      <c r="D223" s="292" t="str">
        <f t="shared" ref="D223:D253" si="53">IF(D67="","",D67)</f>
        <v/>
      </c>
      <c r="E223" s="293">
        <f t="shared" si="33"/>
        <v>0</v>
      </c>
      <c r="F223" s="287">
        <f t="shared" si="34"/>
        <v>0</v>
      </c>
      <c r="G223" s="293">
        <f t="shared" si="35"/>
        <v>0</v>
      </c>
      <c r="H223" s="288" cm="1">
        <f t="array" ref="H223">IF(D222=Loop,$H$191,_xlfn.IFS($D223=Angle,(E223*J223)+H222,$D223=Loop,$H$190,OR($D223="",$D223=End),H222,OR($D223=Dx,$D223=sx,$D223=up,$D223=down),(E223*J223)+H222))</f>
        <v>0</v>
      </c>
      <c r="I223" s="288" cm="1">
        <f t="array" ref="I223">IF(D222=Loop,$I$191,_xlfn.IFS($D223=Angle,(E223*K223)+I222,$D223=Loop,$I$190,OR($D223="",$D223=End),I222,OR($D223=Dx,$D223=sx,$D223=up,$D223=down),(E223*K223)+I222))</f>
        <v>0</v>
      </c>
      <c r="J223" s="295">
        <f t="shared" ref="J223:J252" si="54">+COS(RADIANS(F223))</f>
        <v>1</v>
      </c>
      <c r="K223" s="295">
        <f t="shared" ref="K223:K252" si="55">SIN(RADIANS(F223))</f>
        <v>0</v>
      </c>
      <c r="L223" s="408">
        <f t="shared" si="36"/>
        <v>0</v>
      </c>
      <c r="M223" s="408" t="str">
        <f t="shared" si="37"/>
        <v/>
      </c>
      <c r="N223" s="486" t="str">
        <f t="shared" si="27"/>
        <v/>
      </c>
      <c r="O223" s="408" t="str">
        <f t="shared" si="38"/>
        <v/>
      </c>
      <c r="P223" s="487" t="str">
        <f t="shared" si="39"/>
        <v/>
      </c>
      <c r="Q223" s="569">
        <f t="shared" ref="Q223:Q252" si="56">+IF(OR(E223=0,E223=""),0,IF(MOD(E223,$S$189),_xlfn.FLOOR.MATH(E223/$S$189),_xlfn.FLOOR.MATH(E223/$S$189)-1))</f>
        <v>0</v>
      </c>
      <c r="R223" s="569"/>
      <c r="S223" s="277" cm="1">
        <f t="array" ref="S223">+IF(G223=0,0,IF(MOD(G223,SpanTow),_xlfn.FLOOR.MATH(G223/SpanTow),_xlfn.FLOOR.MATH(G223/SpanTow)-1))</f>
        <v>0</v>
      </c>
      <c r="T223" s="290">
        <f t="shared" si="52"/>
        <v>0</v>
      </c>
      <c r="U223" s="291">
        <f t="shared" si="40"/>
        <v>0</v>
      </c>
      <c r="V223" s="409"/>
      <c r="W223" s="388" t="b">
        <f t="shared" si="41"/>
        <v>0</v>
      </c>
      <c r="X223" s="410" t="b">
        <f t="shared" ref="X223:X253" si="57">IF(OR(D223=Loop,D223="Fine",AND(D223="",D224="")),FALSE,_xlfn.FORECAST.LINEAR(ProjSpan,FxDb,SpanDB))</f>
        <v>0</v>
      </c>
      <c r="Y223" s="498" t="b">
        <f t="shared" si="42"/>
        <v>0</v>
      </c>
      <c r="Z223" s="410" t="b">
        <f t="shared" si="43"/>
        <v>0</v>
      </c>
      <c r="AA223" s="392" t="b">
        <f t="shared" si="44"/>
        <v>0</v>
      </c>
      <c r="AB223" s="410" t="b">
        <f t="shared" si="45"/>
        <v>0</v>
      </c>
      <c r="AC223" s="408" t="b">
        <f t="shared" si="46"/>
        <v>0</v>
      </c>
      <c r="AF223" s="410">
        <f t="shared" si="49"/>
        <v>0</v>
      </c>
      <c r="AG223" s="410">
        <f t="shared" si="50"/>
        <v>0</v>
      </c>
      <c r="AH223" s="507">
        <f t="shared" si="51"/>
        <v>0</v>
      </c>
      <c r="AI223" s="507">
        <f t="shared" si="48"/>
        <v>0</v>
      </c>
    </row>
    <row r="224" spans="1:35" s="388" customFormat="1" hidden="1">
      <c r="A224" s="421"/>
      <c r="B224" s="478" t="str" cm="1">
        <f t="array" ref="B224">_xlfn.IFS(C223="","",C223="","",AND(D224&lt;&gt;End,D223&lt;&gt;Loop),C223,D224=End,_xlfn.CONCAT(C223,", "&amp;$F$11),D223=Loop,_xlfn.CONCAT($F$11&amp;" x2,1"))</f>
        <v/>
      </c>
      <c r="C224" s="286" t="str">
        <f t="shared" ref="C224:C252" si="58">IF(OR(D68=End,D68=Loop),F68,C69)</f>
        <v/>
      </c>
      <c r="D224" s="292" t="str">
        <f t="shared" si="53"/>
        <v/>
      </c>
      <c r="E224" s="293">
        <f t="shared" ref="E224:E253" si="59">IF(D223=Loop,$E$191,+I68)</f>
        <v>0</v>
      </c>
      <c r="F224" s="287">
        <f t="shared" ref="F224:F253" si="60">IF(D223=Loop,$F$191,IF(OR(D224=End,D224=Loop,D224=""),0,IF(D224&lt;&gt;Angle,VLOOKUP(D224,Angoli,2,FALSE),G68)))</f>
        <v>0</v>
      </c>
      <c r="G224" s="293">
        <f t="shared" ref="G224:G253" si="61">IF(D223=Loop,$G$191,+IF(D224=Loop,SQRT((H224-H223)^2+(I224-I223)^2),0))</f>
        <v>0</v>
      </c>
      <c r="H224" s="288" cm="1">
        <f t="array" ref="H224">IF(D223=Loop,$H$191,_xlfn.IFS($D224=Angle,(E224*J224)+H223,$D224=Loop,$H$190,OR($D224="",$D224=End),H223,OR($D224=Dx,$D224=sx,$D224=up,$D224=down),(E224*J224)+H223))</f>
        <v>0</v>
      </c>
      <c r="I224" s="288" cm="1">
        <f t="array" ref="I224">IF(D223=Loop,$I$191,_xlfn.IFS($D224=Angle,(E224*K224)+I223,$D224=Loop,$I$190,OR($D224="",$D224=End),I223,OR($D224=Dx,$D224=sx,$D224=up,$D224=down),(E224*K224)+I223))</f>
        <v>0</v>
      </c>
      <c r="J224" s="295">
        <f t="shared" si="54"/>
        <v>1</v>
      </c>
      <c r="K224" s="295">
        <f t="shared" si="55"/>
        <v>0</v>
      </c>
      <c r="L224" s="408">
        <f t="shared" si="36"/>
        <v>0</v>
      </c>
      <c r="M224" s="408" t="str">
        <f t="shared" ref="M224:M252" si="62">IF(D224=Loop,ABS(180-ABS(F225-L224)),IF(D225=Loop,(ABS(180-(L225-F224))),IF(AND(H224=H225,I224=I225),"",ABS(180-ABS(F225-F224)))))</f>
        <v/>
      </c>
      <c r="N224" s="486" t="str">
        <f t="shared" si="27"/>
        <v/>
      </c>
      <c r="O224" s="408" t="str">
        <f t="shared" si="38"/>
        <v/>
      </c>
      <c r="P224" s="487" t="str">
        <f t="shared" si="39"/>
        <v/>
      </c>
      <c r="Q224" s="569">
        <f t="shared" si="56"/>
        <v>0</v>
      </c>
      <c r="R224" s="569"/>
      <c r="S224" s="277" cm="1">
        <f t="array" ref="S224">+IF(G224=0,0,IF(MOD(G224,SpanTow),_xlfn.FLOOR.MATH(G224/SpanTow),_xlfn.FLOOR.MATH(G224/SpanTow)-1))</f>
        <v>0</v>
      </c>
      <c r="T224" s="290">
        <f t="shared" si="52"/>
        <v>0</v>
      </c>
      <c r="U224" s="291">
        <f t="shared" si="40"/>
        <v>0</v>
      </c>
      <c r="V224" s="409"/>
      <c r="W224" s="388" t="b">
        <f t="shared" si="41"/>
        <v>0</v>
      </c>
      <c r="X224" s="410" t="b">
        <f t="shared" si="57"/>
        <v>0</v>
      </c>
      <c r="Y224" s="498" t="b">
        <f t="shared" si="42"/>
        <v>0</v>
      </c>
      <c r="Z224" s="410" t="b">
        <f t="shared" si="43"/>
        <v>0</v>
      </c>
      <c r="AA224" s="392" t="b">
        <f t="shared" si="44"/>
        <v>0</v>
      </c>
      <c r="AB224" s="410" t="b">
        <f t="shared" si="45"/>
        <v>0</v>
      </c>
      <c r="AC224" s="408" t="b">
        <f t="shared" si="46"/>
        <v>0</v>
      </c>
      <c r="AF224" s="410">
        <f t="shared" si="49"/>
        <v>0</v>
      </c>
      <c r="AG224" s="410">
        <f t="shared" si="50"/>
        <v>0</v>
      </c>
      <c r="AH224" s="507">
        <f t="shared" si="51"/>
        <v>0</v>
      </c>
      <c r="AI224" s="507">
        <f t="shared" si="48"/>
        <v>0</v>
      </c>
    </row>
    <row r="225" spans="1:35" s="388" customFormat="1" hidden="1">
      <c r="A225" s="421"/>
      <c r="B225" s="478" t="str" cm="1">
        <f t="array" ref="B225">_xlfn.IFS(C224="","",C224="","",AND(D225&lt;&gt;End,D224&lt;&gt;Loop),C224,D225=End,_xlfn.CONCAT(C224,", "&amp;$F$11),D224=Loop,_xlfn.CONCAT($F$11&amp;" x2,1"))</f>
        <v/>
      </c>
      <c r="C225" s="286" t="str">
        <f t="shared" si="58"/>
        <v/>
      </c>
      <c r="D225" s="292" t="str">
        <f t="shared" si="53"/>
        <v/>
      </c>
      <c r="E225" s="293">
        <f t="shared" si="59"/>
        <v>0</v>
      </c>
      <c r="F225" s="287">
        <f t="shared" si="60"/>
        <v>0</v>
      </c>
      <c r="G225" s="293">
        <f t="shared" si="61"/>
        <v>0</v>
      </c>
      <c r="H225" s="288" cm="1">
        <f t="array" ref="H225">IF(D224=Loop,$H$191,_xlfn.IFS($D225=Angle,(E225*J225)+H224,$D225=Loop,$H$190,OR($D225="",$D225=End),H224,OR($D225=Dx,$D225=sx,$D225=up,$D225=down),(E225*J225)+H224))</f>
        <v>0</v>
      </c>
      <c r="I225" s="288" cm="1">
        <f t="array" ref="I225">IF(D224=Loop,$I$191,_xlfn.IFS($D225=Angle,(E225*K225)+I224,$D225=Loop,$I$190,OR($D225="",$D225=End),I224,OR($D225=Dx,$D225=sx,$D225=up,$D225=down),(E225*K225)+I224))</f>
        <v>0</v>
      </c>
      <c r="J225" s="295">
        <f t="shared" si="54"/>
        <v>1</v>
      </c>
      <c r="K225" s="295">
        <f t="shared" si="55"/>
        <v>0</v>
      </c>
      <c r="L225" s="408">
        <f t="shared" si="36"/>
        <v>0</v>
      </c>
      <c r="M225" s="408" t="str">
        <f t="shared" si="62"/>
        <v/>
      </c>
      <c r="N225" s="486" t="str">
        <f t="shared" si="27"/>
        <v/>
      </c>
      <c r="O225" s="408" t="str">
        <f t="shared" si="38"/>
        <v/>
      </c>
      <c r="P225" s="487" t="str">
        <f t="shared" si="39"/>
        <v/>
      </c>
      <c r="Q225" s="569">
        <f t="shared" si="56"/>
        <v>0</v>
      </c>
      <c r="R225" s="569"/>
      <c r="S225" s="277" cm="1">
        <f t="array" ref="S225">+IF(G225=0,0,IF(MOD(G225,SpanTow),_xlfn.FLOOR.MATH(G225/SpanTow),_xlfn.FLOOR.MATH(G225/SpanTow)-1))</f>
        <v>0</v>
      </c>
      <c r="T225" s="290">
        <f t="shared" si="52"/>
        <v>0</v>
      </c>
      <c r="U225" s="291">
        <f t="shared" si="40"/>
        <v>0</v>
      </c>
      <c r="V225" s="409"/>
      <c r="W225" s="388" t="b">
        <f t="shared" si="41"/>
        <v>0</v>
      </c>
      <c r="X225" s="410" t="b">
        <f t="shared" si="57"/>
        <v>0</v>
      </c>
      <c r="Y225" s="498" t="b">
        <f t="shared" si="42"/>
        <v>0</v>
      </c>
      <c r="Z225" s="410" t="b">
        <f t="shared" si="43"/>
        <v>0</v>
      </c>
      <c r="AA225" s="392" t="b">
        <f t="shared" si="44"/>
        <v>0</v>
      </c>
      <c r="AB225" s="410" t="b">
        <f t="shared" si="45"/>
        <v>0</v>
      </c>
      <c r="AC225" s="408" t="b">
        <f t="shared" si="46"/>
        <v>0</v>
      </c>
      <c r="AF225" s="410">
        <f t="shared" si="49"/>
        <v>0</v>
      </c>
      <c r="AG225" s="410">
        <f t="shared" si="50"/>
        <v>0</v>
      </c>
      <c r="AH225" s="507">
        <f t="shared" si="51"/>
        <v>0</v>
      </c>
      <c r="AI225" s="507">
        <f t="shared" si="48"/>
        <v>0</v>
      </c>
    </row>
    <row r="226" spans="1:35" s="388" customFormat="1" hidden="1">
      <c r="A226" s="421"/>
      <c r="B226" s="478" t="str" cm="1">
        <f t="array" ref="B226">_xlfn.IFS(C225="","",C225="","",AND(D226&lt;&gt;End,D225&lt;&gt;Loop),C225,D226=End,_xlfn.CONCAT(C225,", "&amp;$F$11),D225=Loop,_xlfn.CONCAT($F$11&amp;" x2,1"))</f>
        <v/>
      </c>
      <c r="C226" s="286" t="str">
        <f t="shared" si="58"/>
        <v/>
      </c>
      <c r="D226" s="292" t="str">
        <f t="shared" si="53"/>
        <v/>
      </c>
      <c r="E226" s="293">
        <f t="shared" si="59"/>
        <v>0</v>
      </c>
      <c r="F226" s="287">
        <f t="shared" si="60"/>
        <v>0</v>
      </c>
      <c r="G226" s="293">
        <f t="shared" si="61"/>
        <v>0</v>
      </c>
      <c r="H226" s="288" cm="1">
        <f t="array" ref="H226">IF(D225=Loop,$H$191,_xlfn.IFS($D226=Angle,(E226*J226)+H225,$D226=Loop,$H$190,OR($D226="",$D226=End),H225,OR($D226=Dx,$D226=sx,$D226=up,$D226=down),(E226*J226)+H225))</f>
        <v>0</v>
      </c>
      <c r="I226" s="288" cm="1">
        <f t="array" ref="I226">IF(D225=Loop,$I$191,_xlfn.IFS($D226=Angle,(E226*K226)+I225,$D226=Loop,$I$190,OR($D226="",$D226=End),I225,OR($D226=Dx,$D226=sx,$D226=up,$D226=down),(E226*K226)+I225))</f>
        <v>0</v>
      </c>
      <c r="J226" s="295">
        <f t="shared" si="54"/>
        <v>1</v>
      </c>
      <c r="K226" s="295">
        <f t="shared" si="55"/>
        <v>0</v>
      </c>
      <c r="L226" s="408">
        <f t="shared" si="36"/>
        <v>0</v>
      </c>
      <c r="M226" s="408" t="str">
        <f t="shared" si="62"/>
        <v/>
      </c>
      <c r="N226" s="486" t="str">
        <f t="shared" si="27"/>
        <v/>
      </c>
      <c r="O226" s="408" t="str">
        <f t="shared" si="38"/>
        <v/>
      </c>
      <c r="P226" s="487" t="str">
        <f t="shared" si="39"/>
        <v/>
      </c>
      <c r="Q226" s="569">
        <f t="shared" si="56"/>
        <v>0</v>
      </c>
      <c r="R226" s="569"/>
      <c r="S226" s="277" cm="1">
        <f t="array" ref="S226">+IF(G226=0,0,IF(MOD(G226,SpanTow),_xlfn.FLOOR.MATH(G226/SpanTow),_xlfn.FLOOR.MATH(G226/SpanTow)-1))</f>
        <v>0</v>
      </c>
      <c r="T226" s="290">
        <f t="shared" si="52"/>
        <v>0</v>
      </c>
      <c r="U226" s="291">
        <f t="shared" si="40"/>
        <v>0</v>
      </c>
      <c r="V226" s="409"/>
      <c r="W226" s="388" t="b">
        <f t="shared" si="41"/>
        <v>0</v>
      </c>
      <c r="X226" s="410" t="b">
        <f t="shared" si="57"/>
        <v>0</v>
      </c>
      <c r="Y226" s="498" t="b">
        <f t="shared" si="42"/>
        <v>0</v>
      </c>
      <c r="Z226" s="410" t="b">
        <f t="shared" si="43"/>
        <v>0</v>
      </c>
      <c r="AA226" s="392" t="b">
        <f t="shared" si="44"/>
        <v>0</v>
      </c>
      <c r="AB226" s="410" t="b">
        <f t="shared" si="45"/>
        <v>0</v>
      </c>
      <c r="AC226" s="408" t="b">
        <f t="shared" si="46"/>
        <v>0</v>
      </c>
      <c r="AF226" s="410">
        <f t="shared" si="49"/>
        <v>0</v>
      </c>
      <c r="AG226" s="410">
        <f t="shared" si="50"/>
        <v>0</v>
      </c>
      <c r="AH226" s="507">
        <f t="shared" si="51"/>
        <v>0</v>
      </c>
      <c r="AI226" s="507">
        <f t="shared" si="48"/>
        <v>0</v>
      </c>
    </row>
    <row r="227" spans="1:35" s="388" customFormat="1" hidden="1">
      <c r="A227" s="421"/>
      <c r="B227" s="478" t="str" cm="1">
        <f t="array" ref="B227">_xlfn.IFS(C226="","",C226="","",AND(D227&lt;&gt;End,D226&lt;&gt;Loop),C226,D227=End,_xlfn.CONCAT(C226,", "&amp;$F$11),D226=Loop,_xlfn.CONCAT($F$11&amp;" x2,1"))</f>
        <v/>
      </c>
      <c r="C227" s="286" t="str">
        <f t="shared" si="58"/>
        <v/>
      </c>
      <c r="D227" s="292" t="str">
        <f t="shared" si="53"/>
        <v/>
      </c>
      <c r="E227" s="293">
        <f t="shared" si="59"/>
        <v>0</v>
      </c>
      <c r="F227" s="287">
        <f t="shared" si="60"/>
        <v>0</v>
      </c>
      <c r="G227" s="293">
        <f t="shared" si="61"/>
        <v>0</v>
      </c>
      <c r="H227" s="288" cm="1">
        <f t="array" ref="H227">IF(D226=Loop,$H$191,_xlfn.IFS($D227=Angle,(E227*J227)+H226,$D227=Loop,$H$190,OR($D227="",$D227=End),H226,OR($D227=Dx,$D227=sx,$D227=up,$D227=down),(E227*J227)+H226))</f>
        <v>0</v>
      </c>
      <c r="I227" s="288" cm="1">
        <f t="array" ref="I227">IF(D226=Loop,$I$191,_xlfn.IFS($D227=Angle,(E227*K227)+I226,$D227=Loop,$I$190,OR($D227="",$D227=End),I226,OR($D227=Dx,$D227=sx,$D227=up,$D227=down),(E227*K227)+I226))</f>
        <v>0</v>
      </c>
      <c r="J227" s="295">
        <f t="shared" si="54"/>
        <v>1</v>
      </c>
      <c r="K227" s="295">
        <f t="shared" si="55"/>
        <v>0</v>
      </c>
      <c r="L227" s="408">
        <f t="shared" si="36"/>
        <v>0</v>
      </c>
      <c r="M227" s="408" t="str">
        <f t="shared" si="62"/>
        <v/>
      </c>
      <c r="N227" s="486" t="str">
        <f t="shared" si="27"/>
        <v/>
      </c>
      <c r="O227" s="408" t="str">
        <f t="shared" si="38"/>
        <v/>
      </c>
      <c r="P227" s="487" t="str">
        <f t="shared" si="39"/>
        <v/>
      </c>
      <c r="Q227" s="569">
        <f t="shared" si="56"/>
        <v>0</v>
      </c>
      <c r="R227" s="569"/>
      <c r="S227" s="277" cm="1">
        <f t="array" ref="S227">+IF(G227=0,0,IF(MOD(G227,SpanTow),_xlfn.FLOOR.MATH(G227/SpanTow),_xlfn.FLOOR.MATH(G227/SpanTow)-1))</f>
        <v>0</v>
      </c>
      <c r="T227" s="290">
        <f t="shared" si="52"/>
        <v>0</v>
      </c>
      <c r="U227" s="291">
        <f t="shared" si="40"/>
        <v>0</v>
      </c>
      <c r="V227" s="409"/>
      <c r="W227" s="388" t="b">
        <f t="shared" si="41"/>
        <v>0</v>
      </c>
      <c r="X227" s="410" t="b">
        <f t="shared" si="57"/>
        <v>0</v>
      </c>
      <c r="Y227" s="498" t="b">
        <f t="shared" si="42"/>
        <v>0</v>
      </c>
      <c r="Z227" s="410" t="b">
        <f t="shared" si="43"/>
        <v>0</v>
      </c>
      <c r="AA227" s="392" t="b">
        <f t="shared" si="44"/>
        <v>0</v>
      </c>
      <c r="AB227" s="410" t="b">
        <f t="shared" si="45"/>
        <v>0</v>
      </c>
      <c r="AC227" s="408" t="b">
        <f t="shared" si="46"/>
        <v>0</v>
      </c>
      <c r="AF227" s="410">
        <f t="shared" si="49"/>
        <v>0</v>
      </c>
      <c r="AG227" s="410">
        <f t="shared" si="50"/>
        <v>0</v>
      </c>
      <c r="AH227" s="507">
        <f t="shared" si="51"/>
        <v>0</v>
      </c>
      <c r="AI227" s="507">
        <f t="shared" si="48"/>
        <v>0</v>
      </c>
    </row>
    <row r="228" spans="1:35" s="388" customFormat="1" hidden="1">
      <c r="A228" s="421"/>
      <c r="B228" s="478" t="str" cm="1">
        <f t="array" ref="B228">_xlfn.IFS(C227="","",C227="","",AND(D228&lt;&gt;End,D227&lt;&gt;Loop),C227,D228=End,_xlfn.CONCAT(C227,", "&amp;$F$11),D227=Loop,_xlfn.CONCAT($F$11&amp;" x2,1"))</f>
        <v/>
      </c>
      <c r="C228" s="286" t="str">
        <f t="shared" si="58"/>
        <v/>
      </c>
      <c r="D228" s="292" t="str">
        <f t="shared" si="53"/>
        <v/>
      </c>
      <c r="E228" s="293">
        <f t="shared" si="59"/>
        <v>0</v>
      </c>
      <c r="F228" s="287">
        <f t="shared" si="60"/>
        <v>0</v>
      </c>
      <c r="G228" s="293">
        <f t="shared" si="61"/>
        <v>0</v>
      </c>
      <c r="H228" s="288" cm="1">
        <f t="array" ref="H228">IF(D227=Loop,$H$191,_xlfn.IFS($D228=Angle,(E228*J228)+H227,$D228=Loop,$H$190,OR($D228="",$D228=End),H227,OR($D228=Dx,$D228=sx,$D228=up,$D228=down),(E228*J228)+H227))</f>
        <v>0</v>
      </c>
      <c r="I228" s="288" cm="1">
        <f t="array" ref="I228">IF(D227=Loop,$I$191,_xlfn.IFS($D228=Angle,(E228*K228)+I227,$D228=Loop,$I$190,OR($D228="",$D228=End),I227,OR($D228=Dx,$D228=sx,$D228=up,$D228=down),(E228*K228)+I227))</f>
        <v>0</v>
      </c>
      <c r="J228" s="295">
        <f t="shared" si="54"/>
        <v>1</v>
      </c>
      <c r="K228" s="295">
        <f t="shared" si="55"/>
        <v>0</v>
      </c>
      <c r="L228" s="408">
        <f t="shared" si="36"/>
        <v>0</v>
      </c>
      <c r="M228" s="408" t="str">
        <f t="shared" si="62"/>
        <v/>
      </c>
      <c r="N228" s="486" t="str">
        <f t="shared" si="27"/>
        <v/>
      </c>
      <c r="O228" s="408" t="str">
        <f t="shared" si="38"/>
        <v/>
      </c>
      <c r="P228" s="487" t="str">
        <f t="shared" si="39"/>
        <v/>
      </c>
      <c r="Q228" s="569">
        <f t="shared" si="56"/>
        <v>0</v>
      </c>
      <c r="R228" s="569"/>
      <c r="S228" s="277" cm="1">
        <f t="array" ref="S228">+IF(G228=0,0,IF(MOD(G228,SpanTow),_xlfn.FLOOR.MATH(G228/SpanTow),_xlfn.FLOOR.MATH(G228/SpanTow)-1))</f>
        <v>0</v>
      </c>
      <c r="T228" s="290">
        <f t="shared" si="52"/>
        <v>0</v>
      </c>
      <c r="U228" s="291">
        <f t="shared" si="40"/>
        <v>0</v>
      </c>
      <c r="V228" s="409"/>
      <c r="W228" s="388" t="b">
        <f t="shared" si="41"/>
        <v>0</v>
      </c>
      <c r="X228" s="410" t="b">
        <f t="shared" si="57"/>
        <v>0</v>
      </c>
      <c r="Y228" s="498" t="b">
        <f t="shared" si="42"/>
        <v>0</v>
      </c>
      <c r="Z228" s="410" t="b">
        <f t="shared" si="43"/>
        <v>0</v>
      </c>
      <c r="AA228" s="392" t="b">
        <f t="shared" si="44"/>
        <v>0</v>
      </c>
      <c r="AB228" s="410" t="b">
        <f t="shared" si="45"/>
        <v>0</v>
      </c>
      <c r="AC228" s="408" t="b">
        <f t="shared" si="46"/>
        <v>0</v>
      </c>
      <c r="AF228" s="410">
        <f t="shared" si="49"/>
        <v>0</v>
      </c>
      <c r="AG228" s="410">
        <f t="shared" si="50"/>
        <v>0</v>
      </c>
      <c r="AH228" s="507">
        <f t="shared" si="51"/>
        <v>0</v>
      </c>
      <c r="AI228" s="507">
        <f t="shared" si="48"/>
        <v>0</v>
      </c>
    </row>
    <row r="229" spans="1:35" s="388" customFormat="1" hidden="1">
      <c r="A229" s="421"/>
      <c r="B229" s="478" t="str" cm="1">
        <f t="array" ref="B229">_xlfn.IFS(C228="","",C228="","",AND(D229&lt;&gt;End,D228&lt;&gt;Loop),C228,D229=End,_xlfn.CONCAT(C228,", "&amp;$F$11),D228=Loop,_xlfn.CONCAT($F$11&amp;" x2,1"))</f>
        <v/>
      </c>
      <c r="C229" s="286" t="str">
        <f t="shared" si="58"/>
        <v/>
      </c>
      <c r="D229" s="292" t="str">
        <f t="shared" si="53"/>
        <v/>
      </c>
      <c r="E229" s="293">
        <f t="shared" si="59"/>
        <v>0</v>
      </c>
      <c r="F229" s="287">
        <f t="shared" si="60"/>
        <v>0</v>
      </c>
      <c r="G229" s="293">
        <f t="shared" si="61"/>
        <v>0</v>
      </c>
      <c r="H229" s="288" cm="1">
        <f t="array" ref="H229">IF(D228=Loop,$H$191,_xlfn.IFS($D229=Angle,(E229*J229)+H228,$D229=Loop,$H$190,OR($D229="",$D229=End),H228,OR($D229=Dx,$D229=sx,$D229=up,$D229=down),(E229*J229)+H228))</f>
        <v>0</v>
      </c>
      <c r="I229" s="288" cm="1">
        <f t="array" ref="I229">IF(D228=Loop,$I$191,_xlfn.IFS($D229=Angle,(E229*K229)+I228,$D229=Loop,$I$190,OR($D229="",$D229=End),I228,OR($D229=Dx,$D229=sx,$D229=up,$D229=down),(E229*K229)+I228))</f>
        <v>0</v>
      </c>
      <c r="J229" s="295">
        <f t="shared" si="54"/>
        <v>1</v>
      </c>
      <c r="K229" s="295">
        <f t="shared" si="55"/>
        <v>0</v>
      </c>
      <c r="L229" s="408">
        <f t="shared" si="36"/>
        <v>0</v>
      </c>
      <c r="M229" s="408" t="str">
        <f t="shared" si="62"/>
        <v/>
      </c>
      <c r="N229" s="486" t="str">
        <f t="shared" si="27"/>
        <v/>
      </c>
      <c r="O229" s="408" t="str">
        <f t="shared" si="38"/>
        <v/>
      </c>
      <c r="P229" s="487" t="str">
        <f t="shared" si="39"/>
        <v/>
      </c>
      <c r="Q229" s="569">
        <f t="shared" si="56"/>
        <v>0</v>
      </c>
      <c r="R229" s="569"/>
      <c r="S229" s="277" cm="1">
        <f t="array" ref="S229">+IF(G229=0,0,IF(MOD(G229,SpanTow),_xlfn.FLOOR.MATH(G229/SpanTow),_xlfn.FLOOR.MATH(G229/SpanTow)-1))</f>
        <v>0</v>
      </c>
      <c r="T229" s="290">
        <f t="shared" si="52"/>
        <v>0</v>
      </c>
      <c r="U229" s="291">
        <f t="shared" si="40"/>
        <v>0</v>
      </c>
      <c r="V229" s="409"/>
      <c r="W229" s="388" t="b">
        <f t="shared" si="41"/>
        <v>0</v>
      </c>
      <c r="X229" s="410" t="b">
        <f t="shared" si="57"/>
        <v>0</v>
      </c>
      <c r="Y229" s="498" t="b">
        <f t="shared" si="42"/>
        <v>0</v>
      </c>
      <c r="Z229" s="410" t="b">
        <f t="shared" si="43"/>
        <v>0</v>
      </c>
      <c r="AA229" s="392" t="b">
        <f t="shared" si="44"/>
        <v>0</v>
      </c>
      <c r="AB229" s="410" t="b">
        <f t="shared" si="45"/>
        <v>0</v>
      </c>
      <c r="AC229" s="408" t="b">
        <f t="shared" si="46"/>
        <v>0</v>
      </c>
      <c r="AF229" s="410">
        <f t="shared" si="49"/>
        <v>0</v>
      </c>
      <c r="AG229" s="410">
        <f t="shared" si="50"/>
        <v>0</v>
      </c>
      <c r="AH229" s="507">
        <f t="shared" si="51"/>
        <v>0</v>
      </c>
      <c r="AI229" s="507">
        <f t="shared" si="48"/>
        <v>0</v>
      </c>
    </row>
    <row r="230" spans="1:35" s="388" customFormat="1" hidden="1">
      <c r="A230" s="421"/>
      <c r="B230" s="478" t="str" cm="1">
        <f t="array" ref="B230">_xlfn.IFS(C229="","",C229="","",AND(D230&lt;&gt;End,D229&lt;&gt;Loop),C229,D230=End,_xlfn.CONCAT(C229,", "&amp;$F$11),D229=Loop,_xlfn.CONCAT($F$11&amp;" x2,1"))</f>
        <v/>
      </c>
      <c r="C230" s="286" t="str">
        <f t="shared" si="58"/>
        <v/>
      </c>
      <c r="D230" s="292" t="str">
        <f t="shared" si="53"/>
        <v/>
      </c>
      <c r="E230" s="293">
        <f t="shared" si="59"/>
        <v>0</v>
      </c>
      <c r="F230" s="287">
        <f t="shared" si="60"/>
        <v>0</v>
      </c>
      <c r="G230" s="293">
        <f t="shared" si="61"/>
        <v>0</v>
      </c>
      <c r="H230" s="288" cm="1">
        <f t="array" ref="H230">IF(D229=Loop,$H$191,_xlfn.IFS($D230=Angle,(E230*J230)+H229,$D230=Loop,$H$190,OR($D230="",$D230=End),H229,OR($D230=Dx,$D230=sx,$D230=up,$D230=down),(E230*J230)+H229))</f>
        <v>0</v>
      </c>
      <c r="I230" s="288" cm="1">
        <f t="array" ref="I230">IF(D229=Loop,$I$191,_xlfn.IFS($D230=Angle,(E230*K230)+I229,$D230=Loop,$I$190,OR($D230="",$D230=End),I229,OR($D230=Dx,$D230=sx,$D230=up,$D230=down),(E230*K230)+I229))</f>
        <v>0</v>
      </c>
      <c r="J230" s="295">
        <f t="shared" si="54"/>
        <v>1</v>
      </c>
      <c r="K230" s="295">
        <f t="shared" si="55"/>
        <v>0</v>
      </c>
      <c r="L230" s="408">
        <f t="shared" si="36"/>
        <v>0</v>
      </c>
      <c r="M230" s="408" t="str">
        <f t="shared" si="62"/>
        <v/>
      </c>
      <c r="N230" s="486" t="str">
        <f t="shared" si="27"/>
        <v/>
      </c>
      <c r="O230" s="408" t="str">
        <f t="shared" si="38"/>
        <v/>
      </c>
      <c r="P230" s="487" t="str">
        <f t="shared" si="39"/>
        <v/>
      </c>
      <c r="Q230" s="569">
        <f t="shared" si="56"/>
        <v>0</v>
      </c>
      <c r="R230" s="569"/>
      <c r="S230" s="277" cm="1">
        <f t="array" ref="S230">+IF(G230=0,0,IF(MOD(G230,SpanTow),_xlfn.FLOOR.MATH(G230/SpanTow),_xlfn.FLOOR.MATH(G230/SpanTow)-1))</f>
        <v>0</v>
      </c>
      <c r="T230" s="290">
        <f t="shared" si="52"/>
        <v>0</v>
      </c>
      <c r="U230" s="291">
        <f t="shared" si="40"/>
        <v>0</v>
      </c>
      <c r="V230" s="409"/>
      <c r="W230" s="388" t="b">
        <f t="shared" si="41"/>
        <v>0</v>
      </c>
      <c r="X230" s="410" t="b">
        <f t="shared" si="57"/>
        <v>0</v>
      </c>
      <c r="Y230" s="498" t="b">
        <f t="shared" si="42"/>
        <v>0</v>
      </c>
      <c r="Z230" s="410" t="b">
        <f t="shared" si="43"/>
        <v>0</v>
      </c>
      <c r="AA230" s="392" t="b">
        <f t="shared" si="44"/>
        <v>0</v>
      </c>
      <c r="AB230" s="410" t="b">
        <f t="shared" si="45"/>
        <v>0</v>
      </c>
      <c r="AC230" s="408" t="b">
        <f t="shared" si="46"/>
        <v>0</v>
      </c>
      <c r="AF230" s="410">
        <f t="shared" si="49"/>
        <v>0</v>
      </c>
      <c r="AG230" s="410">
        <f t="shared" si="50"/>
        <v>0</v>
      </c>
      <c r="AH230" s="507">
        <f t="shared" si="51"/>
        <v>0</v>
      </c>
      <c r="AI230" s="507">
        <f t="shared" si="48"/>
        <v>0</v>
      </c>
    </row>
    <row r="231" spans="1:35" s="388" customFormat="1" hidden="1">
      <c r="A231" s="421"/>
      <c r="B231" s="478" t="str" cm="1">
        <f t="array" ref="B231">_xlfn.IFS(C230="","",C230="","",AND(D231&lt;&gt;End,D230&lt;&gt;Loop),C230,D231=End,_xlfn.CONCAT(C230,", "&amp;$F$11),D230=Loop,_xlfn.CONCAT($F$11&amp;" x2,1"))</f>
        <v/>
      </c>
      <c r="C231" s="286" t="str">
        <f t="shared" si="58"/>
        <v/>
      </c>
      <c r="D231" s="292" t="str">
        <f t="shared" si="53"/>
        <v/>
      </c>
      <c r="E231" s="293">
        <f t="shared" si="59"/>
        <v>0</v>
      </c>
      <c r="F231" s="287">
        <f t="shared" si="60"/>
        <v>0</v>
      </c>
      <c r="G231" s="293">
        <f t="shared" si="61"/>
        <v>0</v>
      </c>
      <c r="H231" s="288" cm="1">
        <f t="array" ref="H231">IF(D230=Loop,$H$191,_xlfn.IFS($D231=Angle,(E231*J231)+H230,$D231=Loop,$H$190,OR($D231="",$D231=End),H230,OR($D231=Dx,$D231=sx,$D231=up,$D231=down),(E231*J231)+H230))</f>
        <v>0</v>
      </c>
      <c r="I231" s="288" cm="1">
        <f t="array" ref="I231">IF(D230=Loop,$I$191,_xlfn.IFS($D231=Angle,(E231*K231)+I230,$D231=Loop,$I$190,OR($D231="",$D231=End),I230,OR($D231=Dx,$D231=sx,$D231=up,$D231=down),(E231*K231)+I230))</f>
        <v>0</v>
      </c>
      <c r="J231" s="295">
        <f t="shared" si="54"/>
        <v>1</v>
      </c>
      <c r="K231" s="295">
        <f t="shared" si="55"/>
        <v>0</v>
      </c>
      <c r="L231" s="408">
        <f t="shared" si="36"/>
        <v>0</v>
      </c>
      <c r="M231" s="408" t="str">
        <f t="shared" si="62"/>
        <v/>
      </c>
      <c r="N231" s="486" t="str">
        <f t="shared" si="27"/>
        <v/>
      </c>
      <c r="O231" s="408" t="str">
        <f t="shared" si="38"/>
        <v/>
      </c>
      <c r="P231" s="487" t="str">
        <f t="shared" si="39"/>
        <v/>
      </c>
      <c r="Q231" s="569">
        <f t="shared" si="56"/>
        <v>0</v>
      </c>
      <c r="R231" s="569"/>
      <c r="S231" s="277" cm="1">
        <f t="array" ref="S231">+IF(G231=0,0,IF(MOD(G231,SpanTow),_xlfn.FLOOR.MATH(G231/SpanTow),_xlfn.FLOOR.MATH(G231/SpanTow)-1))</f>
        <v>0</v>
      </c>
      <c r="T231" s="290">
        <f t="shared" si="52"/>
        <v>0</v>
      </c>
      <c r="U231" s="291">
        <f t="shared" si="40"/>
        <v>0</v>
      </c>
      <c r="V231" s="409"/>
      <c r="W231" s="388" t="b">
        <f t="shared" si="41"/>
        <v>0</v>
      </c>
      <c r="X231" s="410" t="b">
        <f t="shared" si="57"/>
        <v>0</v>
      </c>
      <c r="Y231" s="498" t="b">
        <f t="shared" si="42"/>
        <v>0</v>
      </c>
      <c r="Z231" s="410" t="b">
        <f t="shared" si="43"/>
        <v>0</v>
      </c>
      <c r="AA231" s="392" t="b">
        <f t="shared" si="44"/>
        <v>0</v>
      </c>
      <c r="AB231" s="410" t="b">
        <f t="shared" si="45"/>
        <v>0</v>
      </c>
      <c r="AC231" s="408" t="b">
        <f t="shared" si="46"/>
        <v>0</v>
      </c>
      <c r="AF231" s="410">
        <f t="shared" si="49"/>
        <v>0</v>
      </c>
      <c r="AG231" s="410">
        <f t="shared" si="50"/>
        <v>0</v>
      </c>
      <c r="AH231" s="507">
        <f t="shared" si="51"/>
        <v>0</v>
      </c>
      <c r="AI231" s="507">
        <f t="shared" si="48"/>
        <v>0</v>
      </c>
    </row>
    <row r="232" spans="1:35" s="388" customFormat="1" hidden="1">
      <c r="A232" s="421"/>
      <c r="B232" s="478" t="str" cm="1">
        <f t="array" ref="B232">_xlfn.IFS(C231="","",C231="","",AND(D232&lt;&gt;End,D231&lt;&gt;Loop),C231,D232=End,_xlfn.CONCAT(C231,", "&amp;$F$11),D231=Loop,_xlfn.CONCAT($F$11&amp;" x2,1"))</f>
        <v/>
      </c>
      <c r="C232" s="286" t="str">
        <f t="shared" si="58"/>
        <v/>
      </c>
      <c r="D232" s="292" t="str">
        <f t="shared" si="53"/>
        <v/>
      </c>
      <c r="E232" s="293">
        <f t="shared" si="59"/>
        <v>0</v>
      </c>
      <c r="F232" s="287">
        <f t="shared" si="60"/>
        <v>0</v>
      </c>
      <c r="G232" s="293">
        <f t="shared" si="61"/>
        <v>0</v>
      </c>
      <c r="H232" s="288" cm="1">
        <f t="array" ref="H232">IF(D231=Loop,$H$191,_xlfn.IFS($D232=Angle,(E232*J232)+H231,$D232=Loop,$H$190,OR($D232="",$D232=End),H231,OR($D232=Dx,$D232=sx,$D232=up,$D232=down),(E232*J232)+H231))</f>
        <v>0</v>
      </c>
      <c r="I232" s="288" cm="1">
        <f t="array" ref="I232">IF(D231=Loop,$I$191,_xlfn.IFS($D232=Angle,(E232*K232)+I231,$D232=Loop,$I$190,OR($D232="",$D232=End),I231,OR($D232=Dx,$D232=sx,$D232=up,$D232=down),(E232*K232)+I231))</f>
        <v>0</v>
      </c>
      <c r="J232" s="295">
        <f t="shared" si="54"/>
        <v>1</v>
      </c>
      <c r="K232" s="295">
        <f t="shared" si="55"/>
        <v>0</v>
      </c>
      <c r="L232" s="408">
        <f t="shared" si="36"/>
        <v>0</v>
      </c>
      <c r="M232" s="408" t="str">
        <f t="shared" si="62"/>
        <v/>
      </c>
      <c r="N232" s="486" t="str">
        <f t="shared" si="27"/>
        <v/>
      </c>
      <c r="O232" s="408" t="str">
        <f t="shared" si="38"/>
        <v/>
      </c>
      <c r="P232" s="487" t="str">
        <f t="shared" si="39"/>
        <v/>
      </c>
      <c r="Q232" s="569">
        <f t="shared" si="56"/>
        <v>0</v>
      </c>
      <c r="R232" s="569"/>
      <c r="S232" s="277" cm="1">
        <f t="array" ref="S232">+IF(G232=0,0,IF(MOD(G232,SpanTow),_xlfn.FLOOR.MATH(G232/SpanTow),_xlfn.FLOOR.MATH(G232/SpanTow)-1))</f>
        <v>0</v>
      </c>
      <c r="T232" s="290">
        <f t="shared" si="52"/>
        <v>0</v>
      </c>
      <c r="U232" s="291">
        <f t="shared" si="40"/>
        <v>0</v>
      </c>
      <c r="V232" s="409"/>
      <c r="W232" s="388" t="b">
        <f t="shared" si="41"/>
        <v>0</v>
      </c>
      <c r="X232" s="410" t="b">
        <f t="shared" si="57"/>
        <v>0</v>
      </c>
      <c r="Y232" s="498" t="b">
        <f t="shared" si="42"/>
        <v>0</v>
      </c>
      <c r="Z232" s="410" t="b">
        <f t="shared" si="43"/>
        <v>0</v>
      </c>
      <c r="AA232" s="392" t="b">
        <f t="shared" si="44"/>
        <v>0</v>
      </c>
      <c r="AB232" s="410" t="b">
        <f t="shared" si="45"/>
        <v>0</v>
      </c>
      <c r="AC232" s="408" t="b">
        <f t="shared" si="46"/>
        <v>0</v>
      </c>
      <c r="AF232" s="410">
        <f t="shared" si="49"/>
        <v>0</v>
      </c>
      <c r="AG232" s="410">
        <f t="shared" si="50"/>
        <v>0</v>
      </c>
      <c r="AH232" s="507">
        <f t="shared" si="51"/>
        <v>0</v>
      </c>
      <c r="AI232" s="507">
        <f t="shared" si="48"/>
        <v>0</v>
      </c>
    </row>
    <row r="233" spans="1:35" s="388" customFormat="1" hidden="1">
      <c r="A233" s="421"/>
      <c r="B233" s="478" t="str" cm="1">
        <f t="array" ref="B233">_xlfn.IFS(C232="","",C232="","",AND(D233&lt;&gt;End,D232&lt;&gt;Loop),C232,D233=End,_xlfn.CONCAT(C232,", "&amp;$F$11),D232=Loop,_xlfn.CONCAT($F$11&amp;" x2,1"))</f>
        <v/>
      </c>
      <c r="C233" s="286" t="str">
        <f t="shared" si="58"/>
        <v/>
      </c>
      <c r="D233" s="292" t="str">
        <f t="shared" si="53"/>
        <v/>
      </c>
      <c r="E233" s="293">
        <f t="shared" si="59"/>
        <v>0</v>
      </c>
      <c r="F233" s="287">
        <f t="shared" si="60"/>
        <v>0</v>
      </c>
      <c r="G233" s="293">
        <f t="shared" si="61"/>
        <v>0</v>
      </c>
      <c r="H233" s="288" cm="1">
        <f t="array" ref="H233">IF(D232=Loop,$H$191,_xlfn.IFS($D233=Angle,(E233*J233)+H232,$D233=Loop,$H$190,OR($D233="",$D233=End),H232,OR($D233=Dx,$D233=sx,$D233=up,$D233=down),(E233*J233)+H232))</f>
        <v>0</v>
      </c>
      <c r="I233" s="288" cm="1">
        <f t="array" ref="I233">IF(D232=Loop,$I$191,_xlfn.IFS($D233=Angle,(E233*K233)+I232,$D233=Loop,$I$190,OR($D233="",$D233=End),I232,OR($D233=Dx,$D233=sx,$D233=up,$D233=down),(E233*K233)+I232))</f>
        <v>0</v>
      </c>
      <c r="J233" s="295">
        <f t="shared" si="54"/>
        <v>1</v>
      </c>
      <c r="K233" s="295">
        <f t="shared" si="55"/>
        <v>0</v>
      </c>
      <c r="L233" s="408">
        <f t="shared" si="36"/>
        <v>0</v>
      </c>
      <c r="M233" s="408" t="str">
        <f t="shared" si="62"/>
        <v/>
      </c>
      <c r="N233" s="486" t="str">
        <f t="shared" si="27"/>
        <v/>
      </c>
      <c r="O233" s="408" t="str">
        <f t="shared" si="38"/>
        <v/>
      </c>
      <c r="P233" s="487" t="str">
        <f t="shared" si="39"/>
        <v/>
      </c>
      <c r="Q233" s="569">
        <f t="shared" si="56"/>
        <v>0</v>
      </c>
      <c r="R233" s="569"/>
      <c r="S233" s="277" cm="1">
        <f t="array" ref="S233">+IF(G233=0,0,IF(MOD(G233,SpanTow),_xlfn.FLOOR.MATH(G233/SpanTow),_xlfn.FLOOR.MATH(G233/SpanTow)-1))</f>
        <v>0</v>
      </c>
      <c r="T233" s="290">
        <f t="shared" si="52"/>
        <v>0</v>
      </c>
      <c r="U233" s="291">
        <f t="shared" si="40"/>
        <v>0</v>
      </c>
      <c r="V233" s="409"/>
      <c r="W233" s="388" t="b">
        <f t="shared" si="41"/>
        <v>0</v>
      </c>
      <c r="X233" s="410" t="b">
        <f t="shared" si="57"/>
        <v>0</v>
      </c>
      <c r="Y233" s="498" t="b">
        <f t="shared" si="42"/>
        <v>0</v>
      </c>
      <c r="Z233" s="410" t="b">
        <f t="shared" si="43"/>
        <v>0</v>
      </c>
      <c r="AA233" s="392" t="b">
        <f t="shared" si="44"/>
        <v>0</v>
      </c>
      <c r="AB233" s="410" t="b">
        <f t="shared" si="45"/>
        <v>0</v>
      </c>
      <c r="AC233" s="408" t="b">
        <f t="shared" si="46"/>
        <v>0</v>
      </c>
      <c r="AF233" s="410">
        <f t="shared" si="49"/>
        <v>0</v>
      </c>
      <c r="AG233" s="410">
        <f t="shared" si="50"/>
        <v>0</v>
      </c>
      <c r="AH233" s="507">
        <f t="shared" si="51"/>
        <v>0</v>
      </c>
      <c r="AI233" s="507">
        <f t="shared" si="48"/>
        <v>0</v>
      </c>
    </row>
    <row r="234" spans="1:35" s="388" customFormat="1" hidden="1">
      <c r="A234" s="421"/>
      <c r="B234" s="478" t="str" cm="1">
        <f t="array" ref="B234">_xlfn.IFS(C233="","",C233="","",AND(D234&lt;&gt;End,D233&lt;&gt;Loop),C233,D234=End,_xlfn.CONCAT(C233,", "&amp;$F$11),D233=Loop,_xlfn.CONCAT($F$11&amp;" x2,1"))</f>
        <v/>
      </c>
      <c r="C234" s="286" t="str">
        <f t="shared" si="58"/>
        <v/>
      </c>
      <c r="D234" s="292" t="str">
        <f t="shared" si="53"/>
        <v/>
      </c>
      <c r="E234" s="293">
        <f t="shared" si="59"/>
        <v>0</v>
      </c>
      <c r="F234" s="287">
        <f t="shared" si="60"/>
        <v>0</v>
      </c>
      <c r="G234" s="293">
        <f t="shared" si="61"/>
        <v>0</v>
      </c>
      <c r="H234" s="288" cm="1">
        <f t="array" ref="H234">IF(D233=Loop,$H$191,_xlfn.IFS($D234=Angle,(E234*J234)+H233,$D234=Loop,$H$190,OR($D234="",$D234=End),H233,OR($D234=Dx,$D234=sx,$D234=up,$D234=down),(E234*J234)+H233))</f>
        <v>0</v>
      </c>
      <c r="I234" s="288" cm="1">
        <f t="array" ref="I234">IF(D233=Loop,$I$191,_xlfn.IFS($D234=Angle,(E234*K234)+I233,$D234=Loop,$I$190,OR($D234="",$D234=End),I233,OR($D234=Dx,$D234=sx,$D234=up,$D234=down),(E234*K234)+I233))</f>
        <v>0</v>
      </c>
      <c r="J234" s="295">
        <f t="shared" si="54"/>
        <v>1</v>
      </c>
      <c r="K234" s="295">
        <f t="shared" si="55"/>
        <v>0</v>
      </c>
      <c r="L234" s="408">
        <f t="shared" si="36"/>
        <v>0</v>
      </c>
      <c r="M234" s="408" t="str">
        <f t="shared" si="62"/>
        <v/>
      </c>
      <c r="N234" s="486" t="str">
        <f t="shared" si="27"/>
        <v/>
      </c>
      <c r="O234" s="408" t="str">
        <f t="shared" si="38"/>
        <v/>
      </c>
      <c r="P234" s="487" t="str">
        <f t="shared" si="39"/>
        <v/>
      </c>
      <c r="Q234" s="569">
        <f t="shared" si="56"/>
        <v>0</v>
      </c>
      <c r="R234" s="569"/>
      <c r="S234" s="277" cm="1">
        <f t="array" ref="S234">+IF(G234=0,0,IF(MOD(G234,SpanTow),_xlfn.FLOOR.MATH(G234/SpanTow),_xlfn.FLOOR.MATH(G234/SpanTow)-1))</f>
        <v>0</v>
      </c>
      <c r="T234" s="290">
        <f t="shared" si="52"/>
        <v>0</v>
      </c>
      <c r="U234" s="291">
        <f t="shared" si="40"/>
        <v>0</v>
      </c>
      <c r="V234" s="409"/>
      <c r="W234" s="388" t="b">
        <f t="shared" si="41"/>
        <v>0</v>
      </c>
      <c r="X234" s="410" t="b">
        <f t="shared" si="57"/>
        <v>0</v>
      </c>
      <c r="Y234" s="498" t="b">
        <f t="shared" si="42"/>
        <v>0</v>
      </c>
      <c r="Z234" s="410" t="b">
        <f t="shared" si="43"/>
        <v>0</v>
      </c>
      <c r="AA234" s="392" t="b">
        <f t="shared" si="44"/>
        <v>0</v>
      </c>
      <c r="AB234" s="410" t="b">
        <f t="shared" si="45"/>
        <v>0</v>
      </c>
      <c r="AC234" s="408" t="b">
        <f t="shared" si="46"/>
        <v>0</v>
      </c>
      <c r="AF234" s="410">
        <f t="shared" si="49"/>
        <v>0</v>
      </c>
      <c r="AG234" s="410">
        <f t="shared" si="50"/>
        <v>0</v>
      </c>
      <c r="AH234" s="507">
        <f t="shared" si="51"/>
        <v>0</v>
      </c>
      <c r="AI234" s="507">
        <f t="shared" si="48"/>
        <v>0</v>
      </c>
    </row>
    <row r="235" spans="1:35" s="388" customFormat="1" hidden="1">
      <c r="A235" s="421"/>
      <c r="B235" s="478" t="str" cm="1">
        <f t="array" ref="B235">_xlfn.IFS(C234="","",C234="","",AND(D235&lt;&gt;End,D234&lt;&gt;Loop),C234,D235=End,_xlfn.CONCAT(C234,", "&amp;$F$11),D234=Loop,_xlfn.CONCAT($F$11&amp;" x2,1"))</f>
        <v/>
      </c>
      <c r="C235" s="286" t="str">
        <f t="shared" si="58"/>
        <v/>
      </c>
      <c r="D235" s="292" t="str">
        <f t="shared" si="53"/>
        <v/>
      </c>
      <c r="E235" s="293">
        <f t="shared" si="59"/>
        <v>0</v>
      </c>
      <c r="F235" s="287">
        <f t="shared" si="60"/>
        <v>0</v>
      </c>
      <c r="G235" s="293">
        <f t="shared" si="61"/>
        <v>0</v>
      </c>
      <c r="H235" s="288" cm="1">
        <f t="array" ref="H235">IF(D234=Loop,$H$191,_xlfn.IFS($D235=Angle,(E235*J235)+H234,$D235=Loop,$H$190,OR($D235="",$D235=End),H234,OR($D235=Dx,$D235=sx,$D235=up,$D235=down),(E235*J235)+H234))</f>
        <v>0</v>
      </c>
      <c r="I235" s="288" cm="1">
        <f t="array" ref="I235">IF(D234=Loop,$I$191,_xlfn.IFS($D235=Angle,(E235*K235)+I234,$D235=Loop,$I$190,OR($D235="",$D235=End),I234,OR($D235=Dx,$D235=sx,$D235=up,$D235=down),(E235*K235)+I234))</f>
        <v>0</v>
      </c>
      <c r="J235" s="295">
        <f t="shared" si="54"/>
        <v>1</v>
      </c>
      <c r="K235" s="295">
        <f t="shared" si="55"/>
        <v>0</v>
      </c>
      <c r="L235" s="408">
        <f t="shared" si="36"/>
        <v>0</v>
      </c>
      <c r="M235" s="408" t="str">
        <f t="shared" si="62"/>
        <v/>
      </c>
      <c r="N235" s="486" t="str">
        <f t="shared" si="27"/>
        <v/>
      </c>
      <c r="O235" s="408" t="str">
        <f t="shared" si="38"/>
        <v/>
      </c>
      <c r="P235" s="487" t="str">
        <f t="shared" si="39"/>
        <v/>
      </c>
      <c r="Q235" s="569">
        <f t="shared" si="56"/>
        <v>0</v>
      </c>
      <c r="R235" s="569"/>
      <c r="S235" s="277" cm="1">
        <f t="array" ref="S235">+IF(G235=0,0,IF(MOD(G235,SpanTow),_xlfn.FLOOR.MATH(G235/SpanTow),_xlfn.FLOOR.MATH(G235/SpanTow)-1))</f>
        <v>0</v>
      </c>
      <c r="T235" s="290">
        <f t="shared" si="52"/>
        <v>0</v>
      </c>
      <c r="U235" s="291">
        <f t="shared" si="40"/>
        <v>0</v>
      </c>
      <c r="V235" s="409"/>
      <c r="W235" s="388" t="b">
        <f t="shared" si="41"/>
        <v>0</v>
      </c>
      <c r="X235" s="410" t="b">
        <f t="shared" si="57"/>
        <v>0</v>
      </c>
      <c r="Y235" s="498" t="b">
        <f t="shared" si="42"/>
        <v>0</v>
      </c>
      <c r="Z235" s="410" t="b">
        <f t="shared" si="43"/>
        <v>0</v>
      </c>
      <c r="AA235" s="392" t="b">
        <f t="shared" si="44"/>
        <v>0</v>
      </c>
      <c r="AB235" s="410" t="b">
        <f t="shared" si="45"/>
        <v>0</v>
      </c>
      <c r="AC235" s="408" t="b">
        <f t="shared" si="46"/>
        <v>0</v>
      </c>
      <c r="AF235" s="410">
        <f t="shared" si="49"/>
        <v>0</v>
      </c>
      <c r="AG235" s="410">
        <f t="shared" si="50"/>
        <v>0</v>
      </c>
      <c r="AH235" s="507">
        <f t="shared" si="51"/>
        <v>0</v>
      </c>
      <c r="AI235" s="507">
        <f t="shared" si="48"/>
        <v>0</v>
      </c>
    </row>
    <row r="236" spans="1:35" s="388" customFormat="1" hidden="1">
      <c r="A236" s="421"/>
      <c r="B236" s="478" t="str" cm="1">
        <f t="array" ref="B236">_xlfn.IFS(C235="","",C235="","",AND(D236&lt;&gt;End,D235&lt;&gt;Loop),C235,D236=End,_xlfn.CONCAT(C235,", "&amp;$F$11),D235=Loop,_xlfn.CONCAT($F$11&amp;" x2,1"))</f>
        <v/>
      </c>
      <c r="C236" s="286" t="str">
        <f t="shared" si="58"/>
        <v/>
      </c>
      <c r="D236" s="292" t="str">
        <f t="shared" si="53"/>
        <v/>
      </c>
      <c r="E236" s="293">
        <f t="shared" si="59"/>
        <v>0</v>
      </c>
      <c r="F236" s="287">
        <f t="shared" si="60"/>
        <v>0</v>
      </c>
      <c r="G236" s="293">
        <f t="shared" si="61"/>
        <v>0</v>
      </c>
      <c r="H236" s="288" cm="1">
        <f t="array" ref="H236">IF(D235=Loop,$H$191,_xlfn.IFS($D236=Angle,(E236*J236)+H235,$D236=Loop,$H$190,OR($D236="",$D236=End),H235,OR($D236=Dx,$D236=sx,$D236=up,$D236=down),(E236*J236)+H235))</f>
        <v>0</v>
      </c>
      <c r="I236" s="288" cm="1">
        <f t="array" ref="I236">IF(D235=Loop,$I$191,_xlfn.IFS($D236=Angle,(E236*K236)+I235,$D236=Loop,$I$190,OR($D236="",$D236=End),I235,OR($D236=Dx,$D236=sx,$D236=up,$D236=down),(E236*K236)+I235))</f>
        <v>0</v>
      </c>
      <c r="J236" s="295">
        <f t="shared" si="54"/>
        <v>1</v>
      </c>
      <c r="K236" s="295">
        <f t="shared" si="55"/>
        <v>0</v>
      </c>
      <c r="L236" s="408">
        <f t="shared" si="36"/>
        <v>0</v>
      </c>
      <c r="M236" s="408" t="str">
        <f t="shared" si="62"/>
        <v/>
      </c>
      <c r="N236" s="486" t="str">
        <f t="shared" si="27"/>
        <v/>
      </c>
      <c r="O236" s="408" t="str">
        <f t="shared" si="38"/>
        <v/>
      </c>
      <c r="P236" s="487" t="str">
        <f t="shared" si="39"/>
        <v/>
      </c>
      <c r="Q236" s="569">
        <f t="shared" si="56"/>
        <v>0</v>
      </c>
      <c r="R236" s="569"/>
      <c r="S236" s="277" cm="1">
        <f t="array" ref="S236">+IF(G236=0,0,IF(MOD(G236,SpanTow),_xlfn.FLOOR.MATH(G236/SpanTow),_xlfn.FLOOR.MATH(G236/SpanTow)-1))</f>
        <v>0</v>
      </c>
      <c r="T236" s="290">
        <f t="shared" si="52"/>
        <v>0</v>
      </c>
      <c r="U236" s="291">
        <f t="shared" si="40"/>
        <v>0</v>
      </c>
      <c r="V236" s="409"/>
      <c r="W236" s="388" t="b">
        <f t="shared" si="41"/>
        <v>0</v>
      </c>
      <c r="X236" s="410" t="b">
        <f t="shared" si="57"/>
        <v>0</v>
      </c>
      <c r="Y236" s="498" t="b">
        <f t="shared" si="42"/>
        <v>0</v>
      </c>
      <c r="Z236" s="410" t="b">
        <f t="shared" si="43"/>
        <v>0</v>
      </c>
      <c r="AA236" s="392" t="b">
        <f t="shared" si="44"/>
        <v>0</v>
      </c>
      <c r="AB236" s="410" t="b">
        <f t="shared" si="45"/>
        <v>0</v>
      </c>
      <c r="AC236" s="408" t="b">
        <f t="shared" si="46"/>
        <v>0</v>
      </c>
      <c r="AF236" s="410">
        <f t="shared" si="49"/>
        <v>0</v>
      </c>
      <c r="AG236" s="410">
        <f t="shared" si="50"/>
        <v>0</v>
      </c>
      <c r="AH236" s="507">
        <f t="shared" si="51"/>
        <v>0</v>
      </c>
      <c r="AI236" s="507">
        <f t="shared" si="48"/>
        <v>0</v>
      </c>
    </row>
    <row r="237" spans="1:35" s="388" customFormat="1" hidden="1">
      <c r="A237" s="421"/>
      <c r="B237" s="478" t="str" cm="1">
        <f t="array" ref="B237">_xlfn.IFS(C236="","",C236="","",AND(D237&lt;&gt;End,D236&lt;&gt;Loop),C236,D237=End,_xlfn.CONCAT(C236,", "&amp;$F$11),D236=Loop,_xlfn.CONCAT($F$11&amp;" x2,1"))</f>
        <v/>
      </c>
      <c r="C237" s="286" t="str">
        <f t="shared" si="58"/>
        <v/>
      </c>
      <c r="D237" s="292" t="str">
        <f t="shared" si="53"/>
        <v/>
      </c>
      <c r="E237" s="293">
        <f t="shared" si="59"/>
        <v>0</v>
      </c>
      <c r="F237" s="287">
        <f t="shared" si="60"/>
        <v>0</v>
      </c>
      <c r="G237" s="293">
        <f t="shared" si="61"/>
        <v>0</v>
      </c>
      <c r="H237" s="288" cm="1">
        <f t="array" ref="H237">IF(D236=Loop,$H$191,_xlfn.IFS($D237=Angle,(E237*J237)+H236,$D237=Loop,$H$190,OR($D237="",$D237=End),H236,OR($D237=Dx,$D237=sx,$D237=up,$D237=down),(E237*J237)+H236))</f>
        <v>0</v>
      </c>
      <c r="I237" s="288" cm="1">
        <f t="array" ref="I237">IF(D236=Loop,$I$191,_xlfn.IFS($D237=Angle,(E237*K237)+I236,$D237=Loop,$I$190,OR($D237="",$D237=End),I236,OR($D237=Dx,$D237=sx,$D237=up,$D237=down),(E237*K237)+I236))</f>
        <v>0</v>
      </c>
      <c r="J237" s="295">
        <f t="shared" si="54"/>
        <v>1</v>
      </c>
      <c r="K237" s="295">
        <f t="shared" si="55"/>
        <v>0</v>
      </c>
      <c r="L237" s="408">
        <f t="shared" si="36"/>
        <v>0</v>
      </c>
      <c r="M237" s="408" t="str">
        <f t="shared" si="62"/>
        <v/>
      </c>
      <c r="N237" s="486" t="str">
        <f t="shared" si="27"/>
        <v/>
      </c>
      <c r="O237" s="408" t="str">
        <f t="shared" si="38"/>
        <v/>
      </c>
      <c r="P237" s="487" t="str">
        <f t="shared" si="39"/>
        <v/>
      </c>
      <c r="Q237" s="569">
        <f t="shared" si="56"/>
        <v>0</v>
      </c>
      <c r="R237" s="569"/>
      <c r="S237" s="277" cm="1">
        <f t="array" ref="S237">+IF(G237=0,0,IF(MOD(G237,SpanTow),_xlfn.FLOOR.MATH(G237/SpanTow),_xlfn.FLOOR.MATH(G237/SpanTow)-1))</f>
        <v>0</v>
      </c>
      <c r="T237" s="290">
        <f t="shared" si="52"/>
        <v>0</v>
      </c>
      <c r="U237" s="291">
        <f t="shared" si="40"/>
        <v>0</v>
      </c>
      <c r="V237" s="409"/>
      <c r="W237" s="388" t="b">
        <f t="shared" si="41"/>
        <v>0</v>
      </c>
      <c r="X237" s="410" t="b">
        <f t="shared" si="57"/>
        <v>0</v>
      </c>
      <c r="Y237" s="498" t="b">
        <f t="shared" si="42"/>
        <v>0</v>
      </c>
      <c r="Z237" s="410" t="b">
        <f t="shared" si="43"/>
        <v>0</v>
      </c>
      <c r="AA237" s="392" t="b">
        <f t="shared" si="44"/>
        <v>0</v>
      </c>
      <c r="AB237" s="410" t="b">
        <f t="shared" si="45"/>
        <v>0</v>
      </c>
      <c r="AC237" s="408" t="b">
        <f t="shared" si="46"/>
        <v>0</v>
      </c>
      <c r="AF237" s="410">
        <f t="shared" si="49"/>
        <v>0</v>
      </c>
      <c r="AG237" s="410">
        <f t="shared" si="50"/>
        <v>0</v>
      </c>
      <c r="AH237" s="507">
        <f t="shared" si="51"/>
        <v>0</v>
      </c>
      <c r="AI237" s="507">
        <f t="shared" si="48"/>
        <v>0</v>
      </c>
    </row>
    <row r="238" spans="1:35" s="388" customFormat="1" hidden="1">
      <c r="A238" s="421"/>
      <c r="B238" s="478" t="str" cm="1">
        <f t="array" ref="B238">_xlfn.IFS(C237="","",C237="","",AND(D238&lt;&gt;End,D237&lt;&gt;Loop),C237,D238=End,_xlfn.CONCAT(C237,", "&amp;$F$11),D237=Loop,_xlfn.CONCAT($F$11&amp;" x2,1"))</f>
        <v/>
      </c>
      <c r="C238" s="286" t="str">
        <f t="shared" si="58"/>
        <v/>
      </c>
      <c r="D238" s="292" t="str">
        <f t="shared" si="53"/>
        <v/>
      </c>
      <c r="E238" s="293">
        <f t="shared" si="59"/>
        <v>0</v>
      </c>
      <c r="F238" s="287">
        <f t="shared" si="60"/>
        <v>0</v>
      </c>
      <c r="G238" s="293">
        <f t="shared" si="61"/>
        <v>0</v>
      </c>
      <c r="H238" s="288" cm="1">
        <f t="array" ref="H238">IF(D237=Loop,$H$191,_xlfn.IFS($D238=Angle,(E238*J238)+H237,$D238=Loop,$H$190,OR($D238="",$D238=End),H237,OR($D238=Dx,$D238=sx,$D238=up,$D238=down),(E238*J238)+H237))</f>
        <v>0</v>
      </c>
      <c r="I238" s="288" cm="1">
        <f t="array" ref="I238">IF(D237=Loop,$I$191,_xlfn.IFS($D238=Angle,(E238*K238)+I237,$D238=Loop,$I$190,OR($D238="",$D238=End),I237,OR($D238=Dx,$D238=sx,$D238=up,$D238=down),(E238*K238)+I237))</f>
        <v>0</v>
      </c>
      <c r="J238" s="295">
        <f t="shared" si="54"/>
        <v>1</v>
      </c>
      <c r="K238" s="295">
        <f t="shared" si="55"/>
        <v>0</v>
      </c>
      <c r="L238" s="408">
        <f t="shared" si="36"/>
        <v>0</v>
      </c>
      <c r="M238" s="408" t="str">
        <f t="shared" si="62"/>
        <v/>
      </c>
      <c r="N238" s="486" t="str">
        <f t="shared" si="27"/>
        <v/>
      </c>
      <c r="O238" s="408" t="str">
        <f t="shared" si="38"/>
        <v/>
      </c>
      <c r="P238" s="487" t="str">
        <f t="shared" si="39"/>
        <v/>
      </c>
      <c r="Q238" s="569">
        <f t="shared" si="56"/>
        <v>0</v>
      </c>
      <c r="R238" s="569"/>
      <c r="S238" s="277" cm="1">
        <f t="array" ref="S238">+IF(G238=0,0,IF(MOD(G238,SpanTow),_xlfn.FLOOR.MATH(G238/SpanTow),_xlfn.FLOOR.MATH(G238/SpanTow)-1))</f>
        <v>0</v>
      </c>
      <c r="T238" s="290">
        <f t="shared" si="52"/>
        <v>0</v>
      </c>
      <c r="U238" s="291">
        <f t="shared" si="40"/>
        <v>0</v>
      </c>
      <c r="V238" s="409"/>
      <c r="W238" s="388" t="b">
        <f t="shared" si="41"/>
        <v>0</v>
      </c>
      <c r="X238" s="410" t="b">
        <f t="shared" si="57"/>
        <v>0</v>
      </c>
      <c r="Y238" s="498" t="b">
        <f t="shared" si="42"/>
        <v>0</v>
      </c>
      <c r="Z238" s="410" t="b">
        <f t="shared" si="43"/>
        <v>0</v>
      </c>
      <c r="AA238" s="392" t="b">
        <f t="shared" si="44"/>
        <v>0</v>
      </c>
      <c r="AB238" s="410" t="b">
        <f t="shared" si="45"/>
        <v>0</v>
      </c>
      <c r="AC238" s="408" t="b">
        <f t="shared" si="46"/>
        <v>0</v>
      </c>
      <c r="AF238" s="410">
        <f t="shared" si="49"/>
        <v>0</v>
      </c>
      <c r="AG238" s="410">
        <f t="shared" si="50"/>
        <v>0</v>
      </c>
      <c r="AH238" s="507">
        <f t="shared" si="51"/>
        <v>0</v>
      </c>
      <c r="AI238" s="507">
        <f t="shared" si="48"/>
        <v>0</v>
      </c>
    </row>
    <row r="239" spans="1:35" s="388" customFormat="1" hidden="1">
      <c r="A239" s="421"/>
      <c r="B239" s="478" t="str" cm="1">
        <f t="array" ref="B239">_xlfn.IFS(C238="","",C238="","",AND(D239&lt;&gt;End,D238&lt;&gt;Loop),C238,D239=End,_xlfn.CONCAT(C238,", "&amp;$F$11),D238=Loop,_xlfn.CONCAT($F$11&amp;" x2,1"))</f>
        <v/>
      </c>
      <c r="C239" s="286" t="str">
        <f t="shared" si="58"/>
        <v/>
      </c>
      <c r="D239" s="292" t="str">
        <f t="shared" si="53"/>
        <v/>
      </c>
      <c r="E239" s="293">
        <f t="shared" si="59"/>
        <v>0</v>
      </c>
      <c r="F239" s="287">
        <f t="shared" si="60"/>
        <v>0</v>
      </c>
      <c r="G239" s="293">
        <f t="shared" si="61"/>
        <v>0</v>
      </c>
      <c r="H239" s="288" cm="1">
        <f t="array" ref="H239">IF(D238=Loop,$H$191,_xlfn.IFS($D239=Angle,(E239*J239)+H238,$D239=Loop,$H$190,OR($D239="",$D239=End),H238,OR($D239=Dx,$D239=sx,$D239=up,$D239=down),(E239*J239)+H238))</f>
        <v>0</v>
      </c>
      <c r="I239" s="288" cm="1">
        <f t="array" ref="I239">IF(D238=Loop,$I$191,_xlfn.IFS($D239=Angle,(E239*K239)+I238,$D239=Loop,$I$190,OR($D239="",$D239=End),I238,OR($D239=Dx,$D239=sx,$D239=up,$D239=down),(E239*K239)+I238))</f>
        <v>0</v>
      </c>
      <c r="J239" s="295">
        <f t="shared" si="54"/>
        <v>1</v>
      </c>
      <c r="K239" s="295">
        <f t="shared" si="55"/>
        <v>0</v>
      </c>
      <c r="L239" s="408">
        <f t="shared" si="36"/>
        <v>0</v>
      </c>
      <c r="M239" s="408" t="str">
        <f t="shared" si="62"/>
        <v/>
      </c>
      <c r="N239" s="486" t="str">
        <f t="shared" si="27"/>
        <v/>
      </c>
      <c r="O239" s="408" t="str">
        <f t="shared" si="38"/>
        <v/>
      </c>
      <c r="P239" s="487" t="str">
        <f t="shared" si="39"/>
        <v/>
      </c>
      <c r="Q239" s="569">
        <f t="shared" si="56"/>
        <v>0</v>
      </c>
      <c r="R239" s="569"/>
      <c r="S239" s="277" cm="1">
        <f t="array" ref="S239">+IF(G239=0,0,IF(MOD(G239,SpanTow),_xlfn.FLOOR.MATH(G239/SpanTow),_xlfn.FLOOR.MATH(G239/SpanTow)-1))</f>
        <v>0</v>
      </c>
      <c r="T239" s="290">
        <f t="shared" si="52"/>
        <v>0</v>
      </c>
      <c r="U239" s="291">
        <f t="shared" si="40"/>
        <v>0</v>
      </c>
      <c r="V239" s="409"/>
      <c r="W239" s="388" t="b">
        <f t="shared" si="41"/>
        <v>0</v>
      </c>
      <c r="X239" s="410" t="b">
        <f t="shared" si="57"/>
        <v>0</v>
      </c>
      <c r="Y239" s="498" t="b">
        <f t="shared" si="42"/>
        <v>0</v>
      </c>
      <c r="Z239" s="410" t="b">
        <f t="shared" si="43"/>
        <v>0</v>
      </c>
      <c r="AA239" s="392" t="b">
        <f t="shared" si="44"/>
        <v>0</v>
      </c>
      <c r="AB239" s="410" t="b">
        <f t="shared" si="45"/>
        <v>0</v>
      </c>
      <c r="AC239" s="408" t="b">
        <f t="shared" si="46"/>
        <v>0</v>
      </c>
      <c r="AF239" s="410">
        <f t="shared" si="49"/>
        <v>0</v>
      </c>
      <c r="AG239" s="410">
        <f t="shared" si="50"/>
        <v>0</v>
      </c>
      <c r="AH239" s="507">
        <f t="shared" si="51"/>
        <v>0</v>
      </c>
      <c r="AI239" s="507">
        <f t="shared" si="48"/>
        <v>0</v>
      </c>
    </row>
    <row r="240" spans="1:35" s="388" customFormat="1" hidden="1">
      <c r="A240" s="421"/>
      <c r="B240" s="478" t="str" cm="1">
        <f t="array" ref="B240">_xlfn.IFS(C239="","",C239="","",AND(D240&lt;&gt;End,D239&lt;&gt;Loop),C239,D240=End,_xlfn.CONCAT(C239,", "&amp;$F$11),D239=Loop,_xlfn.CONCAT($F$11&amp;" x2,1"))</f>
        <v/>
      </c>
      <c r="C240" s="286" t="str">
        <f t="shared" si="58"/>
        <v/>
      </c>
      <c r="D240" s="292" t="str">
        <f t="shared" si="53"/>
        <v/>
      </c>
      <c r="E240" s="293">
        <f t="shared" si="59"/>
        <v>0</v>
      </c>
      <c r="F240" s="287">
        <f t="shared" si="60"/>
        <v>0</v>
      </c>
      <c r="G240" s="293">
        <f t="shared" si="61"/>
        <v>0</v>
      </c>
      <c r="H240" s="288" cm="1">
        <f t="array" ref="H240">IF(D239=Loop,$H$191,_xlfn.IFS($D240=Angle,(E240*J240)+H239,$D240=Loop,$H$190,OR($D240="",$D240=End),H239,OR($D240=Dx,$D240=sx,$D240=up,$D240=down),(E240*J240)+H239))</f>
        <v>0</v>
      </c>
      <c r="I240" s="288" cm="1">
        <f t="array" ref="I240">IF(D239=Loop,$I$191,_xlfn.IFS($D240=Angle,(E240*K240)+I239,$D240=Loop,$I$190,OR($D240="",$D240=End),I239,OR($D240=Dx,$D240=sx,$D240=up,$D240=down),(E240*K240)+I239))</f>
        <v>0</v>
      </c>
      <c r="J240" s="295">
        <f t="shared" si="54"/>
        <v>1</v>
      </c>
      <c r="K240" s="295">
        <f t="shared" si="55"/>
        <v>0</v>
      </c>
      <c r="L240" s="408">
        <f t="shared" si="36"/>
        <v>0</v>
      </c>
      <c r="M240" s="408" t="str">
        <f t="shared" si="62"/>
        <v/>
      </c>
      <c r="N240" s="486" t="str">
        <f t="shared" si="27"/>
        <v/>
      </c>
      <c r="O240" s="408" t="str">
        <f t="shared" si="38"/>
        <v/>
      </c>
      <c r="P240" s="487" t="str">
        <f t="shared" si="39"/>
        <v/>
      </c>
      <c r="Q240" s="569">
        <f t="shared" si="56"/>
        <v>0</v>
      </c>
      <c r="R240" s="569"/>
      <c r="S240" s="277" cm="1">
        <f t="array" ref="S240">+IF(G240=0,0,IF(MOD(G240,SpanTow),_xlfn.FLOOR.MATH(G240/SpanTow),_xlfn.FLOOR.MATH(G240/SpanTow)-1))</f>
        <v>0</v>
      </c>
      <c r="T240" s="290">
        <f t="shared" si="52"/>
        <v>0</v>
      </c>
      <c r="U240" s="291">
        <f t="shared" si="40"/>
        <v>0</v>
      </c>
      <c r="V240" s="409"/>
      <c r="W240" s="388" t="b">
        <f t="shared" si="41"/>
        <v>0</v>
      </c>
      <c r="X240" s="410" t="b">
        <f t="shared" si="57"/>
        <v>0</v>
      </c>
      <c r="Y240" s="498" t="b">
        <f t="shared" si="42"/>
        <v>0</v>
      </c>
      <c r="Z240" s="410" t="b">
        <f t="shared" si="43"/>
        <v>0</v>
      </c>
      <c r="AA240" s="392" t="b">
        <f t="shared" si="44"/>
        <v>0</v>
      </c>
      <c r="AB240" s="410" t="b">
        <f t="shared" si="45"/>
        <v>0</v>
      </c>
      <c r="AC240" s="408" t="b">
        <f t="shared" si="46"/>
        <v>0</v>
      </c>
      <c r="AF240" s="410">
        <f t="shared" si="49"/>
        <v>0</v>
      </c>
      <c r="AG240" s="410">
        <f t="shared" si="50"/>
        <v>0</v>
      </c>
      <c r="AH240" s="507">
        <f t="shared" si="51"/>
        <v>0</v>
      </c>
      <c r="AI240" s="507">
        <f t="shared" si="48"/>
        <v>0</v>
      </c>
    </row>
    <row r="241" spans="1:35" s="388" customFormat="1" hidden="1">
      <c r="A241" s="421"/>
      <c r="B241" s="478" t="str" cm="1">
        <f t="array" ref="B241">_xlfn.IFS(C240="","",C240="","",AND(D241&lt;&gt;End,D240&lt;&gt;Loop),C240,D241=End,_xlfn.CONCAT(C240,", "&amp;$F$11),D240=Loop,_xlfn.CONCAT($F$11&amp;" x2,1"))</f>
        <v/>
      </c>
      <c r="C241" s="286" t="str">
        <f t="shared" si="58"/>
        <v/>
      </c>
      <c r="D241" s="292" t="str">
        <f t="shared" si="53"/>
        <v/>
      </c>
      <c r="E241" s="293">
        <f t="shared" si="59"/>
        <v>0</v>
      </c>
      <c r="F241" s="287">
        <f t="shared" si="60"/>
        <v>0</v>
      </c>
      <c r="G241" s="293">
        <f t="shared" si="61"/>
        <v>0</v>
      </c>
      <c r="H241" s="288" cm="1">
        <f t="array" ref="H241">IF(D240=Loop,$H$191,_xlfn.IFS($D241=Angle,(E241*J241)+H240,$D241=Loop,$H$190,OR($D241="",$D241=End),H240,OR($D241=Dx,$D241=sx,$D241=up,$D241=down),(E241*J241)+H240))</f>
        <v>0</v>
      </c>
      <c r="I241" s="288" cm="1">
        <f t="array" ref="I241">IF(D240=Loop,$I$191,_xlfn.IFS($D241=Angle,(E241*K241)+I240,$D241=Loop,$I$190,OR($D241="",$D241=End),I240,OR($D241=Dx,$D241=sx,$D241=up,$D241=down),(E241*K241)+I240))</f>
        <v>0</v>
      </c>
      <c r="J241" s="295">
        <f t="shared" si="54"/>
        <v>1</v>
      </c>
      <c r="K241" s="295">
        <f t="shared" si="55"/>
        <v>0</v>
      </c>
      <c r="L241" s="408">
        <f t="shared" si="36"/>
        <v>0</v>
      </c>
      <c r="M241" s="408" t="str">
        <f t="shared" si="62"/>
        <v/>
      </c>
      <c r="N241" s="486" t="str">
        <f t="shared" si="27"/>
        <v/>
      </c>
      <c r="O241" s="408" t="str">
        <f t="shared" si="38"/>
        <v/>
      </c>
      <c r="P241" s="487" t="str">
        <f t="shared" si="39"/>
        <v/>
      </c>
      <c r="Q241" s="569">
        <f t="shared" si="56"/>
        <v>0</v>
      </c>
      <c r="R241" s="569"/>
      <c r="S241" s="277" cm="1">
        <f t="array" ref="S241">+IF(G241=0,0,IF(MOD(G241,SpanTow),_xlfn.FLOOR.MATH(G241/SpanTow),_xlfn.FLOOR.MATH(G241/SpanTow)-1))</f>
        <v>0</v>
      </c>
      <c r="T241" s="290">
        <f t="shared" si="52"/>
        <v>0</v>
      </c>
      <c r="U241" s="291">
        <f t="shared" si="40"/>
        <v>0</v>
      </c>
      <c r="V241" s="409"/>
      <c r="W241" s="388" t="b">
        <f t="shared" si="41"/>
        <v>0</v>
      </c>
      <c r="X241" s="410" t="b">
        <f t="shared" si="57"/>
        <v>0</v>
      </c>
      <c r="Y241" s="498" t="b">
        <f t="shared" si="42"/>
        <v>0</v>
      </c>
      <c r="Z241" s="410" t="b">
        <f t="shared" si="43"/>
        <v>0</v>
      </c>
      <c r="AA241" s="392" t="b">
        <f t="shared" si="44"/>
        <v>0</v>
      </c>
      <c r="AB241" s="410" t="b">
        <f t="shared" si="45"/>
        <v>0</v>
      </c>
      <c r="AC241" s="408" t="b">
        <f t="shared" si="46"/>
        <v>0</v>
      </c>
      <c r="AF241" s="410">
        <f t="shared" si="49"/>
        <v>0</v>
      </c>
      <c r="AG241" s="410">
        <f t="shared" si="50"/>
        <v>0</v>
      </c>
      <c r="AH241" s="507">
        <f t="shared" si="51"/>
        <v>0</v>
      </c>
      <c r="AI241" s="507">
        <f t="shared" si="48"/>
        <v>0</v>
      </c>
    </row>
    <row r="242" spans="1:35" s="388" customFormat="1" hidden="1">
      <c r="A242" s="421"/>
      <c r="B242" s="478" t="str" cm="1">
        <f t="array" ref="B242">_xlfn.IFS(C241="","",C241="","",AND(D242&lt;&gt;End,D241&lt;&gt;Loop),C241,D242=End,_xlfn.CONCAT(C241,", "&amp;$F$11),D241=Loop,_xlfn.CONCAT($F$11&amp;" x2,1"))</f>
        <v/>
      </c>
      <c r="C242" s="286" t="str">
        <f t="shared" si="58"/>
        <v/>
      </c>
      <c r="D242" s="292" t="str">
        <f t="shared" si="53"/>
        <v/>
      </c>
      <c r="E242" s="293">
        <f t="shared" si="59"/>
        <v>0</v>
      </c>
      <c r="F242" s="287">
        <f t="shared" si="60"/>
        <v>0</v>
      </c>
      <c r="G242" s="293">
        <f t="shared" si="61"/>
        <v>0</v>
      </c>
      <c r="H242" s="288" cm="1">
        <f t="array" ref="H242">IF(D241=Loop,$H$191,_xlfn.IFS($D242=Angle,(E242*J242)+H241,$D242=Loop,$H$190,OR($D242="",$D242=End),H241,OR($D242=Dx,$D242=sx,$D242=up,$D242=down),(E242*J242)+H241))</f>
        <v>0</v>
      </c>
      <c r="I242" s="288" cm="1">
        <f t="array" ref="I242">IF(D241=Loop,$I$191,_xlfn.IFS($D242=Angle,(E242*K242)+I241,$D242=Loop,$I$190,OR($D242="",$D242=End),I241,OR($D242=Dx,$D242=sx,$D242=up,$D242=down),(E242*K242)+I241))</f>
        <v>0</v>
      </c>
      <c r="J242" s="295">
        <f t="shared" si="54"/>
        <v>1</v>
      </c>
      <c r="K242" s="295">
        <f t="shared" si="55"/>
        <v>0</v>
      </c>
      <c r="L242" s="408">
        <f t="shared" si="36"/>
        <v>0</v>
      </c>
      <c r="M242" s="408" t="str">
        <f t="shared" si="62"/>
        <v/>
      </c>
      <c r="N242" s="486" t="str">
        <f t="shared" si="27"/>
        <v/>
      </c>
      <c r="O242" s="408" t="str">
        <f t="shared" si="38"/>
        <v/>
      </c>
      <c r="P242" s="487" t="str">
        <f t="shared" si="39"/>
        <v/>
      </c>
      <c r="Q242" s="569">
        <f t="shared" si="56"/>
        <v>0</v>
      </c>
      <c r="R242" s="569"/>
      <c r="S242" s="277" cm="1">
        <f t="array" ref="S242">+IF(G242=0,0,IF(MOD(G242,SpanTow),_xlfn.FLOOR.MATH(G242/SpanTow),_xlfn.FLOOR.MATH(G242/SpanTow)-1))</f>
        <v>0</v>
      </c>
      <c r="T242" s="290">
        <f t="shared" si="52"/>
        <v>0</v>
      </c>
      <c r="U242" s="291">
        <f t="shared" si="40"/>
        <v>0</v>
      </c>
      <c r="V242" s="409"/>
      <c r="W242" s="388" t="b">
        <f t="shared" si="41"/>
        <v>0</v>
      </c>
      <c r="X242" s="410" t="b">
        <f t="shared" si="57"/>
        <v>0</v>
      </c>
      <c r="Y242" s="498" t="b">
        <f t="shared" si="42"/>
        <v>0</v>
      </c>
      <c r="Z242" s="410" t="b">
        <f t="shared" si="43"/>
        <v>0</v>
      </c>
      <c r="AA242" s="392" t="b">
        <f t="shared" si="44"/>
        <v>0</v>
      </c>
      <c r="AB242" s="410" t="b">
        <f t="shared" si="45"/>
        <v>0</v>
      </c>
      <c r="AC242" s="408" t="b">
        <f t="shared" si="46"/>
        <v>0</v>
      </c>
      <c r="AF242" s="410">
        <f t="shared" si="49"/>
        <v>0</v>
      </c>
      <c r="AG242" s="410">
        <f t="shared" si="50"/>
        <v>0</v>
      </c>
      <c r="AH242" s="507">
        <f t="shared" si="51"/>
        <v>0</v>
      </c>
      <c r="AI242" s="507">
        <f t="shared" si="48"/>
        <v>0</v>
      </c>
    </row>
    <row r="243" spans="1:35" s="388" customFormat="1" hidden="1">
      <c r="A243" s="421"/>
      <c r="B243" s="478" t="str" cm="1">
        <f t="array" ref="B243">_xlfn.IFS(C242="","",C242="","",AND(D243&lt;&gt;End,D242&lt;&gt;Loop),C242,D243=End,_xlfn.CONCAT(C242,", "&amp;$F$11),D242=Loop,_xlfn.CONCAT($F$11&amp;" x2,1"))</f>
        <v/>
      </c>
      <c r="C243" s="286" t="str">
        <f t="shared" si="58"/>
        <v/>
      </c>
      <c r="D243" s="292" t="str">
        <f t="shared" si="53"/>
        <v/>
      </c>
      <c r="E243" s="293">
        <f t="shared" si="59"/>
        <v>0</v>
      </c>
      <c r="F243" s="287">
        <f t="shared" si="60"/>
        <v>0</v>
      </c>
      <c r="G243" s="293">
        <f t="shared" si="61"/>
        <v>0</v>
      </c>
      <c r="H243" s="288" cm="1">
        <f t="array" ref="H243">IF(D242=Loop,$H$191,_xlfn.IFS($D243=Angle,(E243*J243)+H242,$D243=Loop,$H$190,OR($D243="",$D243=End),H242,OR($D243=Dx,$D243=sx,$D243=up,$D243=down),(E243*J243)+H242))</f>
        <v>0</v>
      </c>
      <c r="I243" s="288" cm="1">
        <f t="array" ref="I243">IF(D242=Loop,$I$191,_xlfn.IFS($D243=Angle,(E243*K243)+I242,$D243=Loop,$I$190,OR($D243="",$D243=End),I242,OR($D243=Dx,$D243=sx,$D243=up,$D243=down),(E243*K243)+I242))</f>
        <v>0</v>
      </c>
      <c r="J243" s="295">
        <f t="shared" si="54"/>
        <v>1</v>
      </c>
      <c r="K243" s="295">
        <f t="shared" si="55"/>
        <v>0</v>
      </c>
      <c r="L243" s="408">
        <f t="shared" si="36"/>
        <v>0</v>
      </c>
      <c r="M243" s="408" t="str">
        <f t="shared" si="62"/>
        <v/>
      </c>
      <c r="N243" s="486" t="str">
        <f t="shared" si="27"/>
        <v/>
      </c>
      <c r="O243" s="408" t="str">
        <f t="shared" si="38"/>
        <v/>
      </c>
      <c r="P243" s="487" t="str">
        <f t="shared" si="39"/>
        <v/>
      </c>
      <c r="Q243" s="569">
        <f t="shared" si="56"/>
        <v>0</v>
      </c>
      <c r="R243" s="569"/>
      <c r="S243" s="277" cm="1">
        <f t="array" ref="S243">+IF(G243=0,0,IF(MOD(G243,SpanTow),_xlfn.FLOOR.MATH(G243/SpanTow),_xlfn.FLOOR.MATH(G243/SpanTow)-1))</f>
        <v>0</v>
      </c>
      <c r="T243" s="290">
        <f t="shared" si="52"/>
        <v>0</v>
      </c>
      <c r="U243" s="291">
        <f t="shared" si="40"/>
        <v>0</v>
      </c>
      <c r="V243" s="409"/>
      <c r="W243" s="388" t="b">
        <f t="shared" si="41"/>
        <v>0</v>
      </c>
      <c r="X243" s="410" t="b">
        <f t="shared" si="57"/>
        <v>0</v>
      </c>
      <c r="Y243" s="498" t="b">
        <f t="shared" si="42"/>
        <v>0</v>
      </c>
      <c r="Z243" s="410" t="b">
        <f t="shared" si="43"/>
        <v>0</v>
      </c>
      <c r="AA243" s="392" t="b">
        <f t="shared" si="44"/>
        <v>0</v>
      </c>
      <c r="AB243" s="410" t="b">
        <f t="shared" si="45"/>
        <v>0</v>
      </c>
      <c r="AC243" s="408" t="b">
        <f t="shared" si="46"/>
        <v>0</v>
      </c>
      <c r="AF243" s="410">
        <f t="shared" si="49"/>
        <v>0</v>
      </c>
      <c r="AG243" s="410">
        <f t="shared" si="50"/>
        <v>0</v>
      </c>
      <c r="AH243" s="507">
        <f t="shared" si="51"/>
        <v>0</v>
      </c>
      <c r="AI243" s="507">
        <f t="shared" si="48"/>
        <v>0</v>
      </c>
    </row>
    <row r="244" spans="1:35" s="388" customFormat="1" hidden="1">
      <c r="A244" s="421"/>
      <c r="B244" s="478" t="str" cm="1">
        <f t="array" ref="B244">_xlfn.IFS(C243="","",C243="","",AND(D244&lt;&gt;End,D243&lt;&gt;Loop),C243,D244=End,_xlfn.CONCAT(C243,", "&amp;$F$11),D243=Loop,_xlfn.CONCAT($F$11&amp;" x2,1"))</f>
        <v/>
      </c>
      <c r="C244" s="286" t="str">
        <f t="shared" si="58"/>
        <v/>
      </c>
      <c r="D244" s="292" t="str">
        <f t="shared" si="53"/>
        <v/>
      </c>
      <c r="E244" s="293">
        <f t="shared" si="59"/>
        <v>0</v>
      </c>
      <c r="F244" s="287">
        <f t="shared" si="60"/>
        <v>0</v>
      </c>
      <c r="G244" s="293">
        <f t="shared" si="61"/>
        <v>0</v>
      </c>
      <c r="H244" s="288" cm="1">
        <f t="array" ref="H244">IF(D243=Loop,$H$191,_xlfn.IFS($D244=Angle,(E244*J244)+H243,$D244=Loop,$H$190,OR($D244="",$D244=End),H243,OR($D244=Dx,$D244=sx,$D244=up,$D244=down),(E244*J244)+H243))</f>
        <v>0</v>
      </c>
      <c r="I244" s="288" cm="1">
        <f t="array" ref="I244">IF(D243=Loop,$I$191,_xlfn.IFS($D244=Angle,(E244*K244)+I243,$D244=Loop,$I$190,OR($D244="",$D244=End),I243,OR($D244=Dx,$D244=sx,$D244=up,$D244=down),(E244*K244)+I243))</f>
        <v>0</v>
      </c>
      <c r="J244" s="295">
        <f t="shared" si="54"/>
        <v>1</v>
      </c>
      <c r="K244" s="295">
        <f t="shared" si="55"/>
        <v>0</v>
      </c>
      <c r="L244" s="408">
        <f t="shared" si="36"/>
        <v>0</v>
      </c>
      <c r="M244" s="408" t="str">
        <f t="shared" si="62"/>
        <v/>
      </c>
      <c r="N244" s="486" t="str">
        <f t="shared" si="27"/>
        <v/>
      </c>
      <c r="O244" s="408" t="str">
        <f t="shared" si="38"/>
        <v/>
      </c>
      <c r="P244" s="487" t="str">
        <f t="shared" si="39"/>
        <v/>
      </c>
      <c r="Q244" s="569">
        <f t="shared" si="56"/>
        <v>0</v>
      </c>
      <c r="R244" s="569"/>
      <c r="S244" s="277" cm="1">
        <f t="array" ref="S244">+IF(G244=0,0,IF(MOD(G244,SpanTow),_xlfn.FLOOR.MATH(G244/SpanTow),_xlfn.FLOOR.MATH(G244/SpanTow)-1))</f>
        <v>0</v>
      </c>
      <c r="T244" s="290">
        <f t="shared" si="52"/>
        <v>0</v>
      </c>
      <c r="U244" s="291">
        <f t="shared" si="40"/>
        <v>0</v>
      </c>
      <c r="V244" s="409"/>
      <c r="W244" s="388" t="b">
        <f t="shared" si="41"/>
        <v>0</v>
      </c>
      <c r="X244" s="410" t="b">
        <f t="shared" si="57"/>
        <v>0</v>
      </c>
      <c r="Y244" s="498" t="b">
        <f t="shared" si="42"/>
        <v>0</v>
      </c>
      <c r="Z244" s="410" t="b">
        <f t="shared" si="43"/>
        <v>0</v>
      </c>
      <c r="AA244" s="392" t="b">
        <f t="shared" si="44"/>
        <v>0</v>
      </c>
      <c r="AB244" s="410" t="b">
        <f t="shared" si="45"/>
        <v>0</v>
      </c>
      <c r="AC244" s="408" t="b">
        <f t="shared" si="46"/>
        <v>0</v>
      </c>
      <c r="AF244" s="410">
        <f t="shared" si="49"/>
        <v>0</v>
      </c>
      <c r="AG244" s="410">
        <f t="shared" si="50"/>
        <v>0</v>
      </c>
      <c r="AH244" s="507">
        <f t="shared" si="51"/>
        <v>0</v>
      </c>
      <c r="AI244" s="507">
        <f t="shared" si="48"/>
        <v>0</v>
      </c>
    </row>
    <row r="245" spans="1:35" s="388" customFormat="1" hidden="1">
      <c r="A245" s="421"/>
      <c r="B245" s="478" t="str" cm="1">
        <f t="array" ref="B245">_xlfn.IFS(C244="","",C244="","",AND(D245&lt;&gt;End,D244&lt;&gt;Loop),C244,D245=End,_xlfn.CONCAT(C244,", "&amp;$F$11),D244=Loop,_xlfn.CONCAT($F$11&amp;" x2,1"))</f>
        <v/>
      </c>
      <c r="C245" s="286" t="str">
        <f t="shared" si="58"/>
        <v/>
      </c>
      <c r="D245" s="292" t="str">
        <f t="shared" si="53"/>
        <v/>
      </c>
      <c r="E245" s="293">
        <f t="shared" si="59"/>
        <v>0</v>
      </c>
      <c r="F245" s="287">
        <f t="shared" si="60"/>
        <v>0</v>
      </c>
      <c r="G245" s="293">
        <f t="shared" si="61"/>
        <v>0</v>
      </c>
      <c r="H245" s="288" cm="1">
        <f t="array" ref="H245">IF(D244=Loop,$H$191,_xlfn.IFS($D245=Angle,(E245*J245)+H244,$D245=Loop,$H$190,OR($D245="",$D245=End),H244,OR($D245=Dx,$D245=sx,$D245=up,$D245=down),(E245*J245)+H244))</f>
        <v>0</v>
      </c>
      <c r="I245" s="288" cm="1">
        <f t="array" ref="I245">IF(D244=Loop,$I$191,_xlfn.IFS($D245=Angle,(E245*K245)+I244,$D245=Loop,$I$190,OR($D245="",$D245=End),I244,OR($D245=Dx,$D245=sx,$D245=up,$D245=down),(E245*K245)+I244))</f>
        <v>0</v>
      </c>
      <c r="J245" s="295">
        <f t="shared" si="54"/>
        <v>1</v>
      </c>
      <c r="K245" s="295">
        <f t="shared" si="55"/>
        <v>0</v>
      </c>
      <c r="L245" s="408">
        <f t="shared" si="36"/>
        <v>0</v>
      </c>
      <c r="M245" s="408" t="str">
        <f t="shared" si="62"/>
        <v/>
      </c>
      <c r="N245" s="486" t="str">
        <f t="shared" si="27"/>
        <v/>
      </c>
      <c r="O245" s="408" t="str">
        <f t="shared" si="38"/>
        <v/>
      </c>
      <c r="P245" s="487" t="str">
        <f t="shared" si="39"/>
        <v/>
      </c>
      <c r="Q245" s="569">
        <f t="shared" si="56"/>
        <v>0</v>
      </c>
      <c r="R245" s="569"/>
      <c r="S245" s="277" cm="1">
        <f t="array" ref="S245">+IF(G245=0,0,IF(MOD(G245,SpanTow),_xlfn.FLOOR.MATH(G245/SpanTow),_xlfn.FLOOR.MATH(G245/SpanTow)-1))</f>
        <v>0</v>
      </c>
      <c r="T245" s="290">
        <f t="shared" si="52"/>
        <v>0</v>
      </c>
      <c r="U245" s="291">
        <f t="shared" si="40"/>
        <v>0</v>
      </c>
      <c r="V245" s="409"/>
      <c r="W245" s="388" t="b">
        <f t="shared" si="41"/>
        <v>0</v>
      </c>
      <c r="X245" s="410" t="b">
        <f t="shared" si="57"/>
        <v>0</v>
      </c>
      <c r="Y245" s="498" t="b">
        <f t="shared" si="42"/>
        <v>0</v>
      </c>
      <c r="Z245" s="410" t="b">
        <f t="shared" si="43"/>
        <v>0</v>
      </c>
      <c r="AA245" s="392" t="b">
        <f t="shared" si="44"/>
        <v>0</v>
      </c>
      <c r="AB245" s="410" t="b">
        <f t="shared" si="45"/>
        <v>0</v>
      </c>
      <c r="AC245" s="408" t="b">
        <f t="shared" si="46"/>
        <v>0</v>
      </c>
      <c r="AF245" s="410">
        <f t="shared" si="49"/>
        <v>0</v>
      </c>
      <c r="AG245" s="410">
        <f t="shared" si="50"/>
        <v>0</v>
      </c>
      <c r="AH245" s="507">
        <f t="shared" si="51"/>
        <v>0</v>
      </c>
      <c r="AI245" s="507">
        <f t="shared" si="48"/>
        <v>0</v>
      </c>
    </row>
    <row r="246" spans="1:35" s="388" customFormat="1" hidden="1">
      <c r="A246" s="421"/>
      <c r="B246" s="478" t="str" cm="1">
        <f t="array" ref="B246">_xlfn.IFS(C245="","",C245="","",AND(D246&lt;&gt;End,D245&lt;&gt;Loop),C245,D246=End,_xlfn.CONCAT(C245,", "&amp;$F$11),D245=Loop,_xlfn.CONCAT($F$11&amp;" x2,1"))</f>
        <v/>
      </c>
      <c r="C246" s="286" t="str">
        <f t="shared" si="58"/>
        <v/>
      </c>
      <c r="D246" s="292" t="str">
        <f t="shared" si="53"/>
        <v/>
      </c>
      <c r="E246" s="293">
        <f t="shared" si="59"/>
        <v>0</v>
      </c>
      <c r="F246" s="287">
        <f t="shared" si="60"/>
        <v>0</v>
      </c>
      <c r="G246" s="293">
        <f t="shared" si="61"/>
        <v>0</v>
      </c>
      <c r="H246" s="288" cm="1">
        <f t="array" ref="H246">IF(D245=Loop,$H$191,_xlfn.IFS($D246=Angle,(E246*J246)+H245,$D246=Loop,$H$190,OR($D246="",$D246=End),H245,OR($D246=Dx,$D246=sx,$D246=up,$D246=down),(E246*J246)+H245))</f>
        <v>0</v>
      </c>
      <c r="I246" s="288" cm="1">
        <f t="array" ref="I246">IF(D245=Loop,$I$191,_xlfn.IFS($D246=Angle,(E246*K246)+I245,$D246=Loop,$I$190,OR($D246="",$D246=End),I245,OR($D246=Dx,$D246=sx,$D246=up,$D246=down),(E246*K246)+I245))</f>
        <v>0</v>
      </c>
      <c r="J246" s="295">
        <f t="shared" si="54"/>
        <v>1</v>
      </c>
      <c r="K246" s="295">
        <f t="shared" si="55"/>
        <v>0</v>
      </c>
      <c r="L246" s="408">
        <f t="shared" si="36"/>
        <v>0</v>
      </c>
      <c r="M246" s="408" t="str">
        <f t="shared" si="62"/>
        <v/>
      </c>
      <c r="N246" s="486" t="str">
        <f t="shared" si="27"/>
        <v/>
      </c>
      <c r="O246" s="408" t="str">
        <f t="shared" si="38"/>
        <v/>
      </c>
      <c r="P246" s="487" t="str">
        <f t="shared" si="39"/>
        <v/>
      </c>
      <c r="Q246" s="569">
        <f t="shared" si="56"/>
        <v>0</v>
      </c>
      <c r="R246" s="569"/>
      <c r="S246" s="277" cm="1">
        <f t="array" ref="S246">+IF(G246=0,0,IF(MOD(G246,SpanTow),_xlfn.FLOOR.MATH(G246/SpanTow),_xlfn.FLOOR.MATH(G246/SpanTow)-1))</f>
        <v>0</v>
      </c>
      <c r="T246" s="290">
        <f t="shared" si="52"/>
        <v>0</v>
      </c>
      <c r="U246" s="291">
        <f t="shared" si="40"/>
        <v>0</v>
      </c>
      <c r="V246" s="409"/>
      <c r="W246" s="388" t="b">
        <f t="shared" si="41"/>
        <v>0</v>
      </c>
      <c r="X246" s="410" t="b">
        <f t="shared" si="57"/>
        <v>0</v>
      </c>
      <c r="Y246" s="498" t="b">
        <f t="shared" si="42"/>
        <v>0</v>
      </c>
      <c r="Z246" s="410" t="b">
        <f t="shared" si="43"/>
        <v>0</v>
      </c>
      <c r="AA246" s="392" t="b">
        <f t="shared" si="44"/>
        <v>0</v>
      </c>
      <c r="AB246" s="410" t="b">
        <f t="shared" si="45"/>
        <v>0</v>
      </c>
      <c r="AC246" s="408" t="b">
        <f t="shared" si="46"/>
        <v>0</v>
      </c>
      <c r="AF246" s="410">
        <f t="shared" si="49"/>
        <v>0</v>
      </c>
      <c r="AG246" s="410">
        <f t="shared" si="50"/>
        <v>0</v>
      </c>
      <c r="AH246" s="507">
        <f t="shared" si="51"/>
        <v>0</v>
      </c>
      <c r="AI246" s="507">
        <f t="shared" si="48"/>
        <v>0</v>
      </c>
    </row>
    <row r="247" spans="1:35" s="388" customFormat="1" hidden="1">
      <c r="A247" s="421"/>
      <c r="B247" s="478" t="str" cm="1">
        <f t="array" ref="B247">_xlfn.IFS(C246="","",C246="","",AND(D247&lt;&gt;End,D246&lt;&gt;Loop),C246,D247=End,_xlfn.CONCAT(C246,", "&amp;$F$11),D246=Loop,_xlfn.CONCAT($F$11&amp;" x2,1"))</f>
        <v/>
      </c>
      <c r="C247" s="286" t="str">
        <f t="shared" si="58"/>
        <v/>
      </c>
      <c r="D247" s="292" t="str">
        <f t="shared" si="53"/>
        <v/>
      </c>
      <c r="E247" s="293">
        <f t="shared" si="59"/>
        <v>0</v>
      </c>
      <c r="F247" s="287">
        <f t="shared" si="60"/>
        <v>0</v>
      </c>
      <c r="G247" s="293">
        <f t="shared" si="61"/>
        <v>0</v>
      </c>
      <c r="H247" s="288" cm="1">
        <f t="array" ref="H247">IF(D246=Loop,$H$191,_xlfn.IFS($D247=Angle,(E247*J247)+H246,$D247=Loop,$H$190,OR($D247="",$D247=End),H246,OR($D247=Dx,$D247=sx,$D247=up,$D247=down),(E247*J247)+H246))</f>
        <v>0</v>
      </c>
      <c r="I247" s="288" cm="1">
        <f t="array" ref="I247">IF(D246=Loop,$I$191,_xlfn.IFS($D247=Angle,(E247*K247)+I246,$D247=Loop,$I$190,OR($D247="",$D247=End),I246,OR($D247=Dx,$D247=sx,$D247=up,$D247=down),(E247*K247)+I246))</f>
        <v>0</v>
      </c>
      <c r="J247" s="295">
        <f t="shared" si="54"/>
        <v>1</v>
      </c>
      <c r="K247" s="295">
        <f t="shared" si="55"/>
        <v>0</v>
      </c>
      <c r="L247" s="408">
        <f t="shared" si="36"/>
        <v>0</v>
      </c>
      <c r="M247" s="408" t="str">
        <f t="shared" si="62"/>
        <v/>
      </c>
      <c r="N247" s="486" t="str">
        <f t="shared" si="27"/>
        <v/>
      </c>
      <c r="O247" s="408" t="str">
        <f t="shared" si="38"/>
        <v/>
      </c>
      <c r="P247" s="487" t="str">
        <f t="shared" si="39"/>
        <v/>
      </c>
      <c r="Q247" s="569">
        <f t="shared" si="56"/>
        <v>0</v>
      </c>
      <c r="R247" s="569"/>
      <c r="S247" s="277" cm="1">
        <f t="array" ref="S247">+IF(G247=0,0,IF(MOD(G247,SpanTow),_xlfn.FLOOR.MATH(G247/SpanTow),_xlfn.FLOOR.MATH(G247/SpanTow)-1))</f>
        <v>0</v>
      </c>
      <c r="T247" s="290">
        <f t="shared" si="52"/>
        <v>0</v>
      </c>
      <c r="U247" s="291">
        <f t="shared" si="40"/>
        <v>0</v>
      </c>
      <c r="V247" s="409"/>
      <c r="W247" s="388" t="b">
        <f t="shared" si="41"/>
        <v>0</v>
      </c>
      <c r="X247" s="410" t="b">
        <f t="shared" si="57"/>
        <v>0</v>
      </c>
      <c r="Y247" s="498" t="b">
        <f t="shared" si="42"/>
        <v>0</v>
      </c>
      <c r="Z247" s="410" t="b">
        <f t="shared" si="43"/>
        <v>0</v>
      </c>
      <c r="AA247" s="392" t="b">
        <f t="shared" si="44"/>
        <v>0</v>
      </c>
      <c r="AB247" s="410" t="b">
        <f t="shared" si="45"/>
        <v>0</v>
      </c>
      <c r="AC247" s="408" t="b">
        <f t="shared" si="46"/>
        <v>0</v>
      </c>
      <c r="AF247" s="410">
        <f t="shared" si="49"/>
        <v>0</v>
      </c>
      <c r="AG247" s="410">
        <f t="shared" si="50"/>
        <v>0</v>
      </c>
      <c r="AH247" s="507">
        <f t="shared" si="51"/>
        <v>0</v>
      </c>
      <c r="AI247" s="507">
        <f t="shared" si="48"/>
        <v>0</v>
      </c>
    </row>
    <row r="248" spans="1:35" s="388" customFormat="1" hidden="1">
      <c r="A248" s="421"/>
      <c r="B248" s="478" t="str" cm="1">
        <f t="array" ref="B248">_xlfn.IFS(C247="","",C247="","",AND(D248&lt;&gt;End,D247&lt;&gt;Loop),C247,D248=End,_xlfn.CONCAT(C247,", "&amp;$F$11),D247=Loop,_xlfn.CONCAT($F$11&amp;" x2,1"))</f>
        <v/>
      </c>
      <c r="C248" s="286" t="str">
        <f t="shared" si="58"/>
        <v/>
      </c>
      <c r="D248" s="292" t="str">
        <f t="shared" si="53"/>
        <v/>
      </c>
      <c r="E248" s="293">
        <f t="shared" si="59"/>
        <v>0</v>
      </c>
      <c r="F248" s="287">
        <f t="shared" si="60"/>
        <v>0</v>
      </c>
      <c r="G248" s="293">
        <f t="shared" si="61"/>
        <v>0</v>
      </c>
      <c r="H248" s="288" cm="1">
        <f t="array" ref="H248">IF(D247=Loop,$H$191,_xlfn.IFS($D248=Angle,(E248*J248)+H247,$D248=Loop,$H$190,OR($D248="",$D248=End),H247,OR($D248=Dx,$D248=sx,$D248=up,$D248=down),(E248*J248)+H247))</f>
        <v>0</v>
      </c>
      <c r="I248" s="288" cm="1">
        <f t="array" ref="I248">IF(D247=Loop,$I$191,_xlfn.IFS($D248=Angle,(E248*K248)+I247,$D248=Loop,$I$190,OR($D248="",$D248=End),I247,OR($D248=Dx,$D248=sx,$D248=up,$D248=down),(E248*K248)+I247))</f>
        <v>0</v>
      </c>
      <c r="J248" s="295">
        <f t="shared" si="54"/>
        <v>1</v>
      </c>
      <c r="K248" s="295">
        <f t="shared" si="55"/>
        <v>0</v>
      </c>
      <c r="L248" s="408">
        <f t="shared" si="36"/>
        <v>0</v>
      </c>
      <c r="M248" s="408" t="str">
        <f t="shared" si="62"/>
        <v/>
      </c>
      <c r="N248" s="486" t="str">
        <f t="shared" si="27"/>
        <v/>
      </c>
      <c r="O248" s="408" t="str">
        <f t="shared" si="38"/>
        <v/>
      </c>
      <c r="P248" s="487" t="str">
        <f t="shared" si="39"/>
        <v/>
      </c>
      <c r="Q248" s="569">
        <f t="shared" si="56"/>
        <v>0</v>
      </c>
      <c r="R248" s="569"/>
      <c r="S248" s="277" cm="1">
        <f t="array" ref="S248">+IF(G248=0,0,IF(MOD(G248,SpanTow),_xlfn.FLOOR.MATH(G248/SpanTow),_xlfn.FLOOR.MATH(G248/SpanTow)-1))</f>
        <v>0</v>
      </c>
      <c r="T248" s="290">
        <f t="shared" si="52"/>
        <v>0</v>
      </c>
      <c r="U248" s="291">
        <f t="shared" si="40"/>
        <v>0</v>
      </c>
      <c r="V248" s="409"/>
      <c r="W248" s="388" t="b">
        <f t="shared" si="41"/>
        <v>0</v>
      </c>
      <c r="X248" s="410" t="b">
        <f t="shared" si="57"/>
        <v>0</v>
      </c>
      <c r="Y248" s="498" t="b">
        <f t="shared" si="42"/>
        <v>0</v>
      </c>
      <c r="Z248" s="410" t="b">
        <f t="shared" si="43"/>
        <v>0</v>
      </c>
      <c r="AA248" s="392" t="b">
        <f t="shared" si="44"/>
        <v>0</v>
      </c>
      <c r="AB248" s="410" t="b">
        <f t="shared" si="45"/>
        <v>0</v>
      </c>
      <c r="AC248" s="408" t="b">
        <f t="shared" si="46"/>
        <v>0</v>
      </c>
      <c r="AF248" s="410">
        <f t="shared" si="49"/>
        <v>0</v>
      </c>
      <c r="AG248" s="410">
        <f t="shared" si="50"/>
        <v>0</v>
      </c>
      <c r="AH248" s="507">
        <f t="shared" si="51"/>
        <v>0</v>
      </c>
      <c r="AI248" s="507">
        <f t="shared" si="48"/>
        <v>0</v>
      </c>
    </row>
    <row r="249" spans="1:35" s="388" customFormat="1" hidden="1">
      <c r="A249" s="421"/>
      <c r="B249" s="478" t="str" cm="1">
        <f t="array" ref="B249">_xlfn.IFS(C248="","",C248="","",AND(D249&lt;&gt;End,D248&lt;&gt;Loop),C248,D249=End,_xlfn.CONCAT(C248,", "&amp;$F$11),D248=Loop,_xlfn.CONCAT($F$11&amp;" x2,1"))</f>
        <v/>
      </c>
      <c r="C249" s="286" t="str">
        <f t="shared" si="58"/>
        <v/>
      </c>
      <c r="D249" s="292" t="str">
        <f t="shared" si="53"/>
        <v/>
      </c>
      <c r="E249" s="293">
        <f t="shared" si="59"/>
        <v>0</v>
      </c>
      <c r="F249" s="287">
        <f t="shared" si="60"/>
        <v>0</v>
      </c>
      <c r="G249" s="293">
        <f t="shared" si="61"/>
        <v>0</v>
      </c>
      <c r="H249" s="288" cm="1">
        <f t="array" ref="H249">IF(D248=Loop,$H$191,_xlfn.IFS($D249=Angle,(E249*J249)+H248,$D249=Loop,$H$190,OR($D249="",$D249=End),H248,OR($D249=Dx,$D249=sx,$D249=up,$D249=down),(E249*J249)+H248))</f>
        <v>0</v>
      </c>
      <c r="I249" s="288" cm="1">
        <f t="array" ref="I249">IF(D248=Loop,$I$191,_xlfn.IFS($D249=Angle,(E249*K249)+I248,$D249=Loop,$I$190,OR($D249="",$D249=End),I248,OR($D249=Dx,$D249=sx,$D249=up,$D249=down),(E249*K249)+I248))</f>
        <v>0</v>
      </c>
      <c r="J249" s="295">
        <f t="shared" si="54"/>
        <v>1</v>
      </c>
      <c r="K249" s="295">
        <f t="shared" si="55"/>
        <v>0</v>
      </c>
      <c r="L249" s="408">
        <f t="shared" si="36"/>
        <v>0</v>
      </c>
      <c r="M249" s="408" t="str">
        <f t="shared" si="62"/>
        <v/>
      </c>
      <c r="N249" s="486" t="str">
        <f t="shared" si="27"/>
        <v/>
      </c>
      <c r="O249" s="408" t="str">
        <f t="shared" si="38"/>
        <v/>
      </c>
      <c r="P249" s="487" t="str">
        <f t="shared" si="39"/>
        <v/>
      </c>
      <c r="Q249" s="569">
        <f t="shared" si="56"/>
        <v>0</v>
      </c>
      <c r="R249" s="569"/>
      <c r="S249" s="277" cm="1">
        <f t="array" ref="S249">+IF(G249=0,0,IF(MOD(G249,SpanTow),_xlfn.FLOOR.MATH(G249/SpanTow),_xlfn.FLOOR.MATH(G249/SpanTow)-1))</f>
        <v>0</v>
      </c>
      <c r="T249" s="290">
        <f t="shared" si="52"/>
        <v>0</v>
      </c>
      <c r="U249" s="291">
        <f t="shared" si="40"/>
        <v>0</v>
      </c>
      <c r="V249" s="409"/>
      <c r="W249" s="388" t="b">
        <f t="shared" si="41"/>
        <v>0</v>
      </c>
      <c r="X249" s="410" t="b">
        <f t="shared" si="57"/>
        <v>0</v>
      </c>
      <c r="Y249" s="498" t="b">
        <f t="shared" si="42"/>
        <v>0</v>
      </c>
      <c r="Z249" s="410" t="b">
        <f t="shared" si="43"/>
        <v>0</v>
      </c>
      <c r="AA249" s="392" t="b">
        <f t="shared" si="44"/>
        <v>0</v>
      </c>
      <c r="AB249" s="410" t="b">
        <f t="shared" si="45"/>
        <v>0</v>
      </c>
      <c r="AC249" s="408" t="b">
        <f t="shared" si="46"/>
        <v>0</v>
      </c>
      <c r="AF249" s="410">
        <f t="shared" si="49"/>
        <v>0</v>
      </c>
      <c r="AG249" s="410">
        <f t="shared" si="50"/>
        <v>0</v>
      </c>
      <c r="AH249" s="507">
        <f t="shared" si="51"/>
        <v>0</v>
      </c>
      <c r="AI249" s="507">
        <f t="shared" si="48"/>
        <v>0</v>
      </c>
    </row>
    <row r="250" spans="1:35" s="388" customFormat="1" hidden="1">
      <c r="A250" s="421"/>
      <c r="B250" s="478" t="str" cm="1">
        <f t="array" ref="B250">_xlfn.IFS(C249="","",C249="","",AND(D250&lt;&gt;End,D249&lt;&gt;Loop),C249,D250=End,_xlfn.CONCAT(C249,", "&amp;$F$11),D249=Loop,_xlfn.CONCAT($F$11&amp;" x2,1"))</f>
        <v/>
      </c>
      <c r="C250" s="286" t="str">
        <f t="shared" si="58"/>
        <v/>
      </c>
      <c r="D250" s="292" t="str">
        <f t="shared" si="53"/>
        <v/>
      </c>
      <c r="E250" s="293">
        <f t="shared" si="59"/>
        <v>0</v>
      </c>
      <c r="F250" s="287">
        <f t="shared" si="60"/>
        <v>0</v>
      </c>
      <c r="G250" s="293">
        <f t="shared" si="61"/>
        <v>0</v>
      </c>
      <c r="H250" s="288" cm="1">
        <f t="array" ref="H250">IF(D249=Loop,$H$191,_xlfn.IFS($D250=Angle,(E250*J250)+H249,$D250=Loop,$H$190,OR($D250="",$D250=End),H249,OR($D250=Dx,$D250=sx,$D250=up,$D250=down),(E250*J250)+H249))</f>
        <v>0</v>
      </c>
      <c r="I250" s="288" cm="1">
        <f t="array" ref="I250">IF(D249=Loop,$I$191,_xlfn.IFS($D250=Angle,(E250*K250)+I249,$D250=Loop,$I$190,OR($D250="",$D250=End),I249,OR($D250=Dx,$D250=sx,$D250=up,$D250=down),(E250*K250)+I249))</f>
        <v>0</v>
      </c>
      <c r="J250" s="295">
        <f t="shared" si="54"/>
        <v>1</v>
      </c>
      <c r="K250" s="295">
        <f t="shared" si="55"/>
        <v>0</v>
      </c>
      <c r="L250" s="408">
        <f t="shared" si="36"/>
        <v>0</v>
      </c>
      <c r="M250" s="408" t="str">
        <f t="shared" si="62"/>
        <v/>
      </c>
      <c r="N250" s="486" t="str">
        <f t="shared" si="27"/>
        <v/>
      </c>
      <c r="O250" s="408" t="str">
        <f t="shared" si="38"/>
        <v/>
      </c>
      <c r="P250" s="487" t="str">
        <f t="shared" si="39"/>
        <v/>
      </c>
      <c r="Q250" s="569">
        <f t="shared" si="56"/>
        <v>0</v>
      </c>
      <c r="R250" s="569"/>
      <c r="S250" s="277" cm="1">
        <f t="array" ref="S250">+IF(G250=0,0,IF(MOD(G250,SpanTow),_xlfn.FLOOR.MATH(G250/SpanTow),_xlfn.FLOOR.MATH(G250/SpanTow)-1))</f>
        <v>0</v>
      </c>
      <c r="T250" s="290">
        <f t="shared" si="52"/>
        <v>0</v>
      </c>
      <c r="U250" s="291">
        <f t="shared" si="40"/>
        <v>0</v>
      </c>
      <c r="V250" s="409"/>
      <c r="W250" s="388" t="b">
        <f t="shared" si="41"/>
        <v>0</v>
      </c>
      <c r="X250" s="410" t="b">
        <f t="shared" si="57"/>
        <v>0</v>
      </c>
      <c r="Y250" s="498" t="b">
        <f t="shared" si="42"/>
        <v>0</v>
      </c>
      <c r="Z250" s="410" t="b">
        <f t="shared" si="43"/>
        <v>0</v>
      </c>
      <c r="AA250" s="392" t="b">
        <f t="shared" si="44"/>
        <v>0</v>
      </c>
      <c r="AB250" s="410" t="b">
        <f t="shared" si="45"/>
        <v>0</v>
      </c>
      <c r="AC250" s="408" t="b">
        <f t="shared" si="46"/>
        <v>0</v>
      </c>
      <c r="AF250" s="410">
        <f t="shared" si="49"/>
        <v>0</v>
      </c>
      <c r="AG250" s="410">
        <f t="shared" si="50"/>
        <v>0</v>
      </c>
      <c r="AH250" s="507">
        <f t="shared" si="51"/>
        <v>0</v>
      </c>
      <c r="AI250" s="507">
        <f t="shared" si="48"/>
        <v>0</v>
      </c>
    </row>
    <row r="251" spans="1:35" s="388" customFormat="1" hidden="1">
      <c r="A251" s="421"/>
      <c r="B251" s="478" t="str" cm="1">
        <f t="array" ref="B251">_xlfn.IFS(C250="","",C250="","",AND(D251&lt;&gt;End,D250&lt;&gt;Loop),C250,D251=End,_xlfn.CONCAT(C250,", "&amp;$F$11),D250=Loop,_xlfn.CONCAT($F$11&amp;" x2,1"))</f>
        <v/>
      </c>
      <c r="C251" s="286" t="str">
        <f t="shared" si="58"/>
        <v/>
      </c>
      <c r="D251" s="292" t="str">
        <f t="shared" si="53"/>
        <v/>
      </c>
      <c r="E251" s="293">
        <f t="shared" si="59"/>
        <v>0</v>
      </c>
      <c r="F251" s="287">
        <f t="shared" si="60"/>
        <v>0</v>
      </c>
      <c r="G251" s="293">
        <f t="shared" si="61"/>
        <v>0</v>
      </c>
      <c r="H251" s="288" cm="1">
        <f t="array" ref="H251">IF(D250=Loop,$H$191,_xlfn.IFS($D251=Angle,(E251*J251)+H250,$D251=Loop,$H$190,OR($D251="",$D251=End),H250,OR($D251=Dx,$D251=sx,$D251=up,$D251=down),(E251*J251)+H250))</f>
        <v>0</v>
      </c>
      <c r="I251" s="288" cm="1">
        <f t="array" ref="I251">IF(D250=Loop,$I$191,_xlfn.IFS($D251=Angle,(E251*K251)+I250,$D251=Loop,$I$190,OR($D251="",$D251=End),I250,OR($D251=Dx,$D251=sx,$D251=up,$D251=down),(E251*K251)+I250))</f>
        <v>0</v>
      </c>
      <c r="J251" s="295">
        <f t="shared" si="54"/>
        <v>1</v>
      </c>
      <c r="K251" s="295">
        <f t="shared" si="55"/>
        <v>0</v>
      </c>
      <c r="L251" s="408">
        <f t="shared" si="36"/>
        <v>0</v>
      </c>
      <c r="M251" s="408" t="str">
        <f t="shared" si="62"/>
        <v/>
      </c>
      <c r="N251" s="486" t="str">
        <f t="shared" si="27"/>
        <v/>
      </c>
      <c r="O251" s="408" t="str">
        <f t="shared" si="38"/>
        <v/>
      </c>
      <c r="P251" s="487" t="str">
        <f t="shared" si="39"/>
        <v/>
      </c>
      <c r="Q251" s="569">
        <f t="shared" si="56"/>
        <v>0</v>
      </c>
      <c r="R251" s="569"/>
      <c r="S251" s="277" cm="1">
        <f t="array" ref="S251">+IF(G251=0,0,IF(MOD(G251,SpanTow),_xlfn.FLOOR.MATH(G251/SpanTow),_xlfn.FLOOR.MATH(G251/SpanTow)-1))</f>
        <v>0</v>
      </c>
      <c r="T251" s="290">
        <f t="shared" si="52"/>
        <v>0</v>
      </c>
      <c r="U251" s="291">
        <f t="shared" si="40"/>
        <v>0</v>
      </c>
      <c r="V251" s="409"/>
      <c r="W251" s="388" t="b">
        <f t="shared" si="41"/>
        <v>0</v>
      </c>
      <c r="X251" s="410" t="b">
        <f t="shared" si="57"/>
        <v>0</v>
      </c>
      <c r="Y251" s="498" t="b">
        <f t="shared" si="42"/>
        <v>0</v>
      </c>
      <c r="Z251" s="410" t="b">
        <f t="shared" si="43"/>
        <v>0</v>
      </c>
      <c r="AA251" s="392" t="b">
        <f t="shared" si="44"/>
        <v>0</v>
      </c>
      <c r="AB251" s="410" t="b">
        <f t="shared" si="45"/>
        <v>0</v>
      </c>
      <c r="AC251" s="408" t="b">
        <f t="shared" si="46"/>
        <v>0</v>
      </c>
      <c r="AF251" s="410">
        <f t="shared" si="49"/>
        <v>0</v>
      </c>
      <c r="AG251" s="410">
        <f t="shared" si="50"/>
        <v>0</v>
      </c>
      <c r="AH251" s="507">
        <f t="shared" si="51"/>
        <v>0</v>
      </c>
      <c r="AI251" s="507">
        <f t="shared" si="48"/>
        <v>0</v>
      </c>
    </row>
    <row r="252" spans="1:35" s="388" customFormat="1" hidden="1">
      <c r="A252" s="421"/>
      <c r="B252" s="478" t="str" cm="1">
        <f t="array" ref="B252">_xlfn.IFS(C251="","",C251="","",AND(D252&lt;&gt;End,D251&lt;&gt;Loop),C251,D252=End,_xlfn.CONCAT(C251,", "&amp;$F$11),D251=Loop,_xlfn.CONCAT($F$11&amp;" x2,1"))</f>
        <v/>
      </c>
      <c r="C252" s="286" t="str">
        <f t="shared" si="58"/>
        <v/>
      </c>
      <c r="D252" s="292" t="str">
        <f t="shared" si="53"/>
        <v/>
      </c>
      <c r="E252" s="293">
        <f t="shared" si="59"/>
        <v>0</v>
      </c>
      <c r="F252" s="287">
        <f t="shared" si="60"/>
        <v>0</v>
      </c>
      <c r="G252" s="293">
        <f t="shared" si="61"/>
        <v>0</v>
      </c>
      <c r="H252" s="288" cm="1">
        <f t="array" ref="H252">IF(D251=Loop,$H$191,_xlfn.IFS($D252=Angle,(E252*J252)+H251,$D252=Loop,$H$190,OR($D252="",$D252=End),H251,OR($D252=Dx,$D252=sx,$D252=up,$D252=down),(E252*J252)+H251))</f>
        <v>0</v>
      </c>
      <c r="I252" s="288" cm="1">
        <f t="array" ref="I252">IF(D251=Loop,$I$191,_xlfn.IFS($D252=Angle,(E252*K252)+I251,$D252=Loop,$I$190,OR($D252="",$D252=End),I251,OR($D252=Dx,$D252=sx,$D252=up,$D252=down),(E252*K252)+I251))</f>
        <v>0</v>
      </c>
      <c r="J252" s="295">
        <f t="shared" si="54"/>
        <v>1</v>
      </c>
      <c r="K252" s="295">
        <f t="shared" si="55"/>
        <v>0</v>
      </c>
      <c r="L252" s="408">
        <f t="shared" si="36"/>
        <v>0</v>
      </c>
      <c r="M252" s="408" t="str">
        <f t="shared" si="62"/>
        <v/>
      </c>
      <c r="N252" s="486" t="str">
        <f>IF(D252="","",+IF(OR(AND(M252&gt;=80,M252&lt;=105),AND(M252&gt;=265,M252&lt;=280)),"90",FALSE))</f>
        <v/>
      </c>
      <c r="O252" s="408" t="str">
        <f>IF(D252="","",+IF(OR(AND(M252&gt;=165,M252&lt;=195),AND(M252&gt;=345,M252&lt;=15)),"INT",FALSE))</f>
        <v/>
      </c>
      <c r="P252" s="487" t="str">
        <f>IF(D252="","",IF(M252="","",+IF(AND(N252=FALSE,O252=FALSE),1,0)))</f>
        <v/>
      </c>
      <c r="Q252" s="569">
        <f t="shared" si="56"/>
        <v>0</v>
      </c>
      <c r="R252" s="569"/>
      <c r="S252" s="277" cm="1">
        <f t="array" ref="S252">+IF(G252=0,0,IF(MOD(G252,SpanTow),_xlfn.FLOOR.MATH(G252/SpanTow),_xlfn.FLOOR.MATH(G252/SpanTow)-1))</f>
        <v>0</v>
      </c>
      <c r="T252" s="290">
        <f t="shared" si="52"/>
        <v>0</v>
      </c>
      <c r="U252" s="291">
        <f t="shared" si="40"/>
        <v>0</v>
      </c>
      <c r="V252" s="409"/>
      <c r="W252" s="388" t="b">
        <f t="shared" si="41"/>
        <v>0</v>
      </c>
      <c r="X252" s="410" t="b">
        <f t="shared" si="57"/>
        <v>0</v>
      </c>
      <c r="Y252" s="498" t="b">
        <f t="shared" si="42"/>
        <v>0</v>
      </c>
      <c r="Z252" s="410" t="b">
        <f t="shared" si="43"/>
        <v>0</v>
      </c>
      <c r="AA252" s="392" t="b">
        <f t="shared" si="44"/>
        <v>0</v>
      </c>
      <c r="AB252" s="410" t="b">
        <f t="shared" si="45"/>
        <v>0</v>
      </c>
      <c r="AC252" s="408" t="b">
        <f t="shared" si="46"/>
        <v>0</v>
      </c>
      <c r="AF252" s="410">
        <f t="shared" si="49"/>
        <v>0</v>
      </c>
      <c r="AG252" s="410">
        <f t="shared" si="50"/>
        <v>0</v>
      </c>
      <c r="AH252" s="507">
        <f t="shared" si="51"/>
        <v>0</v>
      </c>
      <c r="AI252" s="507">
        <f t="shared" si="48"/>
        <v>0</v>
      </c>
    </row>
    <row r="253" spans="1:35" s="388" customFormat="1" hidden="1">
      <c r="A253" s="421"/>
      <c r="B253" s="478" t="str" cm="1">
        <f t="array" ref="B253">_xlfn.IFS(C252="","",C252="","",AND(D253&lt;&gt;End,D252&lt;&gt;Loop),C252,D253=End,_xlfn.CONCAT(C252,", "&amp;$F$11),D252=Loop,_xlfn.CONCAT($F$11&amp;" x2,1"))</f>
        <v/>
      </c>
      <c r="C253" s="286">
        <f>IF(OR(D97=End,D97=Loop),F97,C101)</f>
        <v>0</v>
      </c>
      <c r="D253" s="292" t="str">
        <f t="shared" si="53"/>
        <v/>
      </c>
      <c r="E253" s="293">
        <f t="shared" si="59"/>
        <v>0</v>
      </c>
      <c r="F253" s="287">
        <f t="shared" si="60"/>
        <v>0</v>
      </c>
      <c r="G253" s="293">
        <f t="shared" si="61"/>
        <v>0</v>
      </c>
      <c r="H253" s="288" cm="1">
        <f t="array" ref="H253">IF(D252=Loop,$H$191,_xlfn.IFS($D253=Angle,(E253*J253)+H252,$D253=Loop,$H$190,OR($D253="",$D253=End),H252,OR($D253=Dx,$D253=sx,$D253=up,$D253=down),(E253*J253)+H252))</f>
        <v>0</v>
      </c>
      <c r="I253" s="288" cm="1">
        <f t="array" ref="I253">IF(D252=Loop,$I$191,_xlfn.IFS($D253=Angle,(E253*K253)+I252,$D253=Loop,$I$190,OR($D253="",$D253=End),I252,OR($D253=Dx,$D253=sx,$D253=up,$D253=down),(E253*K253)+I252))</f>
        <v>0</v>
      </c>
      <c r="J253" s="295">
        <f>+COS(RADIANS(F253))</f>
        <v>1</v>
      </c>
      <c r="K253" s="295">
        <f>SIN(RADIANS(F253))</f>
        <v>0</v>
      </c>
      <c r="L253" s="408">
        <f t="shared" si="36"/>
        <v>0</v>
      </c>
      <c r="M253" s="408"/>
      <c r="N253" s="486" t="str">
        <f>IF(D253="","",+IF(OR(AND(M253&gt;=80,M253&lt;=105),AND(M253&gt;=265,M253&lt;=280)),"90",FALSE))</f>
        <v/>
      </c>
      <c r="O253" s="408" t="str">
        <f>IF(D253="","",+IF(OR(AND(M253&gt;=165,M253&lt;=195),AND(M253&gt;=345,M253&lt;=15)),"INT",FALSE))</f>
        <v/>
      </c>
      <c r="P253" s="487" t="str">
        <f>IF(D253="","",IF(M253="","",+IF(AND(N253=FALSE,O253=FALSE),1,0)))</f>
        <v/>
      </c>
      <c r="Q253" s="569">
        <f>+IF(OR(E253=0,E253=""),0,IF(MOD(E253,$S$189),_xlfn.FLOOR.MATH(E253/$S$189),_xlfn.FLOOR.MATH(E253/$S$189)-1))</f>
        <v>0</v>
      </c>
      <c r="R253" s="569"/>
      <c r="S253" s="277" cm="1">
        <f t="array" ref="S253">+IF(G253=0,0,IF(MOD(G253,SpanTow),_xlfn.FLOOR.MATH(G253/SpanTow),_xlfn.FLOOR.MATH(G253/SpanTow)-1))</f>
        <v>0</v>
      </c>
      <c r="T253" s="290">
        <f>+MAX(Q253:S253)</f>
        <v>0</v>
      </c>
      <c r="U253" s="291">
        <f t="shared" si="40"/>
        <v>0</v>
      </c>
      <c r="V253" s="409"/>
      <c r="W253" s="388" t="b">
        <f t="shared" si="41"/>
        <v>0</v>
      </c>
      <c r="X253" s="410" t="b">
        <f t="shared" si="57"/>
        <v>0</v>
      </c>
      <c r="Y253" s="498" t="b">
        <f t="shared" si="42"/>
        <v>0</v>
      </c>
      <c r="Z253" s="410" t="b">
        <f t="shared" si="43"/>
        <v>0</v>
      </c>
      <c r="AA253" s="392" t="b">
        <f t="shared" si="44"/>
        <v>0</v>
      </c>
      <c r="AB253" s="410" t="b">
        <f t="shared" si="45"/>
        <v>0</v>
      </c>
      <c r="AC253" s="408" t="b">
        <f t="shared" si="46"/>
        <v>0</v>
      </c>
      <c r="AF253" s="410">
        <f t="shared" si="49"/>
        <v>0</v>
      </c>
      <c r="AG253" s="410">
        <f t="shared" si="50"/>
        <v>0</v>
      </c>
      <c r="AH253" s="507">
        <f t="shared" si="51"/>
        <v>0</v>
      </c>
      <c r="AI253" s="507">
        <f t="shared" si="48"/>
        <v>0</v>
      </c>
    </row>
    <row r="254" spans="1:35" s="388" customFormat="1" hidden="1">
      <c r="A254" s="421"/>
      <c r="B254" s="394"/>
      <c r="C254" s="394"/>
      <c r="D254" s="394"/>
      <c r="E254" s="394"/>
      <c r="F254" s="394"/>
      <c r="G254" s="394"/>
      <c r="H254" s="394"/>
      <c r="I254" s="394"/>
      <c r="J254" s="394"/>
      <c r="K254" s="394"/>
      <c r="L254" s="411"/>
      <c r="M254" s="394"/>
      <c r="N254" s="394"/>
      <c r="O254" s="394"/>
      <c r="P254" s="394"/>
      <c r="Q254" s="412"/>
      <c r="R254" s="413"/>
      <c r="S254" s="394"/>
      <c r="T254" s="414"/>
      <c r="U254" s="414"/>
      <c r="Y254" s="496"/>
      <c r="AA254" s="392"/>
      <c r="AC254" s="393"/>
      <c r="AF254" s="410"/>
      <c r="AG254" s="410"/>
    </row>
    <row r="255" spans="1:35" s="388" customFormat="1" hidden="1">
      <c r="A255" s="421"/>
      <c r="B255" s="394"/>
      <c r="C255" s="394"/>
      <c r="D255" s="394"/>
      <c r="E255" s="394"/>
      <c r="F255" s="394"/>
      <c r="G255" s="394"/>
      <c r="H255" s="394"/>
      <c r="I255" s="394"/>
      <c r="J255" s="394"/>
      <c r="K255" s="394"/>
      <c r="L255" s="411"/>
      <c r="M255" s="394"/>
      <c r="N255" s="394"/>
      <c r="O255" s="394"/>
      <c r="P255" s="394"/>
      <c r="Q255" s="412"/>
      <c r="R255" s="413"/>
      <c r="S255" s="415"/>
      <c r="T255" s="405"/>
      <c r="U255" s="405"/>
      <c r="Y255" s="496"/>
      <c r="AA255" s="392"/>
      <c r="AC255" s="393"/>
      <c r="AF255" s="410"/>
      <c r="AG255" s="410"/>
    </row>
    <row r="256" spans="1:35" s="388" customFormat="1" hidden="1">
      <c r="A256" s="421"/>
      <c r="B256" s="394"/>
      <c r="C256" s="394"/>
      <c r="D256" s="394"/>
      <c r="E256" s="394"/>
      <c r="F256" s="394"/>
      <c r="G256" s="394"/>
      <c r="H256" s="394"/>
      <c r="I256" s="394"/>
      <c r="J256" s="394"/>
      <c r="K256" s="394"/>
      <c r="L256" s="411"/>
      <c r="M256" s="394"/>
      <c r="N256" s="394"/>
      <c r="O256" s="394"/>
      <c r="P256" s="394"/>
      <c r="Q256" s="394"/>
      <c r="R256" s="394"/>
      <c r="S256" s="415"/>
      <c r="Y256" s="496"/>
      <c r="AA256" s="392">
        <f>MAX(AA191:AA253)</f>
        <v>0</v>
      </c>
      <c r="AC256" s="393"/>
      <c r="AD256" s="388" t="s">
        <v>95</v>
      </c>
      <c r="AF256" s="410"/>
      <c r="AG256" s="410"/>
    </row>
    <row r="257" spans="2:19" hidden="1">
      <c r="B257" s="374"/>
      <c r="C257" s="374"/>
      <c r="D257" s="374"/>
      <c r="E257" s="374"/>
      <c r="F257" s="374"/>
      <c r="G257" s="416"/>
      <c r="H257" s="374"/>
      <c r="I257" s="374"/>
      <c r="J257" s="374"/>
      <c r="K257" s="374"/>
      <c r="L257" s="417"/>
      <c r="M257" s="374"/>
      <c r="N257" s="374"/>
      <c r="O257" s="374"/>
      <c r="P257" s="374"/>
      <c r="Q257" s="374"/>
      <c r="R257" s="374"/>
      <c r="S257" s="418"/>
    </row>
    <row r="258" spans="2:19" hidden="1">
      <c r="B258" s="374"/>
      <c r="C258" s="374"/>
      <c r="D258" s="374"/>
      <c r="E258" s="374"/>
      <c r="F258" s="374"/>
      <c r="G258" s="416"/>
      <c r="H258" s="374"/>
      <c r="I258" s="374"/>
      <c r="J258" s="374"/>
      <c r="K258" s="374"/>
      <c r="L258" s="417"/>
      <c r="M258" s="374"/>
      <c r="N258" s="374"/>
      <c r="O258" s="374"/>
      <c r="P258" s="374"/>
      <c r="Q258" s="374"/>
      <c r="R258" s="374"/>
      <c r="S258" s="374"/>
    </row>
  </sheetData>
  <sheetProtection algorithmName="SHA-512" hashValue="iD+97b8giXaa9x11NW8ypdHND4hnanWuvY/IdKEI9naNLd56S/SfEcXqUcE6IpSevwWENtvsTwF+QPBOQh8mIw==" saltValue="NPzfB7dXtfKezz1YCVqIiA==" spinCount="100000" sheet="1" objects="1" scenarios="1"/>
  <autoFilter ref="AC30:AC104" xr:uid="{E97316E7-C842-4841-ABD6-8EB85851E16C}">
    <filterColumn colId="0">
      <customFilters>
        <customFilter operator="greaterThan" val="0"/>
      </customFilters>
    </filterColumn>
  </autoFilter>
  <mergeCells count="394">
    <mergeCell ref="C11:E11"/>
    <mergeCell ref="E7:L7"/>
    <mergeCell ref="C9:E9"/>
    <mergeCell ref="C13:E13"/>
    <mergeCell ref="C15:E15"/>
    <mergeCell ref="C144:M144"/>
    <mergeCell ref="C145:M145"/>
    <mergeCell ref="L72:M72"/>
    <mergeCell ref="L55:M55"/>
    <mergeCell ref="L56:M56"/>
    <mergeCell ref="L57:M57"/>
    <mergeCell ref="L58:M58"/>
    <mergeCell ref="L59:M59"/>
    <mergeCell ref="L60:M60"/>
    <mergeCell ref="L61:M61"/>
    <mergeCell ref="L62:M62"/>
    <mergeCell ref="L63:M63"/>
    <mergeCell ref="L69:M69"/>
    <mergeCell ref="L82:M82"/>
    <mergeCell ref="L83:M83"/>
    <mergeCell ref="L84:M84"/>
    <mergeCell ref="L85:M85"/>
    <mergeCell ref="L52:M52"/>
    <mergeCell ref="L53:M53"/>
    <mergeCell ref="Y188:Z188"/>
    <mergeCell ref="F30:M30"/>
    <mergeCell ref="I5:J5"/>
    <mergeCell ref="K5:L5"/>
    <mergeCell ref="L91:M91"/>
    <mergeCell ref="L92:M92"/>
    <mergeCell ref="L93:M93"/>
    <mergeCell ref="L94:M94"/>
    <mergeCell ref="L73:M73"/>
    <mergeCell ref="L74:M74"/>
    <mergeCell ref="L75:M75"/>
    <mergeCell ref="L76:M76"/>
    <mergeCell ref="L77:M77"/>
    <mergeCell ref="L78:M78"/>
    <mergeCell ref="L79:M79"/>
    <mergeCell ref="L80:M80"/>
    <mergeCell ref="L81:M81"/>
    <mergeCell ref="L64:M64"/>
    <mergeCell ref="L65:M65"/>
    <mergeCell ref="L66:M66"/>
    <mergeCell ref="L67:M67"/>
    <mergeCell ref="L68:M68"/>
    <mergeCell ref="L90:M90"/>
    <mergeCell ref="L71:M71"/>
    <mergeCell ref="L86:M86"/>
    <mergeCell ref="L87:M87"/>
    <mergeCell ref="L88:M88"/>
    <mergeCell ref="L89:M89"/>
    <mergeCell ref="Q253:R253"/>
    <mergeCell ref="Q197:R197"/>
    <mergeCell ref="Q190:R190"/>
    <mergeCell ref="Q198:R198"/>
    <mergeCell ref="Q199:R199"/>
    <mergeCell ref="Q200:R200"/>
    <mergeCell ref="Q201:R201"/>
    <mergeCell ref="Q202:R202"/>
    <mergeCell ref="Q203:R203"/>
    <mergeCell ref="Q204:R204"/>
    <mergeCell ref="Q196:R196"/>
    <mergeCell ref="Q205:R205"/>
    <mergeCell ref="Q206:R206"/>
    <mergeCell ref="Q207:R207"/>
    <mergeCell ref="Q208:R208"/>
    <mergeCell ref="Q209:R209"/>
    <mergeCell ref="Q191:R191"/>
    <mergeCell ref="Q192:R192"/>
    <mergeCell ref="Q237:R237"/>
    <mergeCell ref="Q238:R238"/>
    <mergeCell ref="L43:M43"/>
    <mergeCell ref="L44:M44"/>
    <mergeCell ref="L45:M45"/>
    <mergeCell ref="L46:M46"/>
    <mergeCell ref="L47:M47"/>
    <mergeCell ref="L48:M48"/>
    <mergeCell ref="L49:M49"/>
    <mergeCell ref="L50:M50"/>
    <mergeCell ref="L51:M51"/>
    <mergeCell ref="L35:M35"/>
    <mergeCell ref="L33:M34"/>
    <mergeCell ref="L36:M36"/>
    <mergeCell ref="L37:M37"/>
    <mergeCell ref="L38:M38"/>
    <mergeCell ref="L39:M39"/>
    <mergeCell ref="L40:M40"/>
    <mergeCell ref="L41:M41"/>
    <mergeCell ref="L42:M42"/>
    <mergeCell ref="L54:M54"/>
    <mergeCell ref="Q195:R195"/>
    <mergeCell ref="L70:M70"/>
    <mergeCell ref="K33:K34"/>
    <mergeCell ref="D36:E36"/>
    <mergeCell ref="I36:J36"/>
    <mergeCell ref="I33:J33"/>
    <mergeCell ref="D63:E63"/>
    <mergeCell ref="I44:J44"/>
    <mergeCell ref="D45:E45"/>
    <mergeCell ref="I45:J45"/>
    <mergeCell ref="D46:E46"/>
    <mergeCell ref="I46:J46"/>
    <mergeCell ref="D47:E47"/>
    <mergeCell ref="I47:J47"/>
    <mergeCell ref="D48:E48"/>
    <mergeCell ref="I48:J48"/>
    <mergeCell ref="D49:E49"/>
    <mergeCell ref="D50:E50"/>
    <mergeCell ref="D51:E51"/>
    <mergeCell ref="D52:E52"/>
    <mergeCell ref="D53:E53"/>
    <mergeCell ref="C186:D186"/>
    <mergeCell ref="D42:E42"/>
    <mergeCell ref="D35:E35"/>
    <mergeCell ref="D34:E34"/>
    <mergeCell ref="D40:E40"/>
    <mergeCell ref="D41:E41"/>
    <mergeCell ref="D43:E43"/>
    <mergeCell ref="D44:E44"/>
    <mergeCell ref="D33:E33"/>
    <mergeCell ref="D37:E37"/>
    <mergeCell ref="D38:E38"/>
    <mergeCell ref="D39:E39"/>
    <mergeCell ref="G44:H44"/>
    <mergeCell ref="G45:H45"/>
    <mergeCell ref="G46:H46"/>
    <mergeCell ref="G47:H47"/>
    <mergeCell ref="G48:H48"/>
    <mergeCell ref="G49:H49"/>
    <mergeCell ref="G33:H33"/>
    <mergeCell ref="G34:H34"/>
    <mergeCell ref="G35:H35"/>
    <mergeCell ref="G36:H36"/>
    <mergeCell ref="G37:H37"/>
    <mergeCell ref="G38:H38"/>
    <mergeCell ref="G39:H39"/>
    <mergeCell ref="D54:E54"/>
    <mergeCell ref="D55:E55"/>
    <mergeCell ref="D56:E56"/>
    <mergeCell ref="D57:E57"/>
    <mergeCell ref="D58:E58"/>
    <mergeCell ref="D59:E59"/>
    <mergeCell ref="D60:E60"/>
    <mergeCell ref="D61:E61"/>
    <mergeCell ref="I68:J68"/>
    <mergeCell ref="I67:J67"/>
    <mergeCell ref="I66:J66"/>
    <mergeCell ref="I65:J65"/>
    <mergeCell ref="I64:J64"/>
    <mergeCell ref="D80:E80"/>
    <mergeCell ref="I53:J53"/>
    <mergeCell ref="G65:H65"/>
    <mergeCell ref="D62:E62"/>
    <mergeCell ref="I78:J78"/>
    <mergeCell ref="G60:H60"/>
    <mergeCell ref="D69:E69"/>
    <mergeCell ref="D70:E70"/>
    <mergeCell ref="D71:E71"/>
    <mergeCell ref="D72:E72"/>
    <mergeCell ref="I58:J58"/>
    <mergeCell ref="I57:J57"/>
    <mergeCell ref="D64:E64"/>
    <mergeCell ref="D65:E65"/>
    <mergeCell ref="D66:E66"/>
    <mergeCell ref="D67:E67"/>
    <mergeCell ref="D68:E68"/>
    <mergeCell ref="G66:H66"/>
    <mergeCell ref="G56:H56"/>
    <mergeCell ref="I72:J72"/>
    <mergeCell ref="I71:J71"/>
    <mergeCell ref="I56:J56"/>
    <mergeCell ref="G67:H67"/>
    <mergeCell ref="G68:H68"/>
    <mergeCell ref="D82:E82"/>
    <mergeCell ref="D88:E88"/>
    <mergeCell ref="D73:E73"/>
    <mergeCell ref="D74:E74"/>
    <mergeCell ref="D75:E75"/>
    <mergeCell ref="D76:E76"/>
    <mergeCell ref="D77:E77"/>
    <mergeCell ref="I82:J82"/>
    <mergeCell ref="G74:H74"/>
    <mergeCell ref="G75:H75"/>
    <mergeCell ref="G76:H76"/>
    <mergeCell ref="G77:H77"/>
    <mergeCell ref="G78:H78"/>
    <mergeCell ref="G79:H79"/>
    <mergeCell ref="G80:H80"/>
    <mergeCell ref="G81:H81"/>
    <mergeCell ref="G82:H82"/>
    <mergeCell ref="I81:J81"/>
    <mergeCell ref="I79:J79"/>
    <mergeCell ref="D81:E81"/>
    <mergeCell ref="G83:H83"/>
    <mergeCell ref="D78:E78"/>
    <mergeCell ref="G73:H73"/>
    <mergeCell ref="D79:E79"/>
    <mergeCell ref="I90:J90"/>
    <mergeCell ref="D91:E91"/>
    <mergeCell ref="I91:J91"/>
    <mergeCell ref="D92:E92"/>
    <mergeCell ref="I92:J92"/>
    <mergeCell ref="I80:J80"/>
    <mergeCell ref="G88:H88"/>
    <mergeCell ref="G89:H89"/>
    <mergeCell ref="G90:H90"/>
    <mergeCell ref="G91:H91"/>
    <mergeCell ref="I88:J88"/>
    <mergeCell ref="D89:E89"/>
    <mergeCell ref="I89:J89"/>
    <mergeCell ref="D83:E83"/>
    <mergeCell ref="I83:J83"/>
    <mergeCell ref="D84:E84"/>
    <mergeCell ref="I84:J84"/>
    <mergeCell ref="D85:E85"/>
    <mergeCell ref="I85:J85"/>
    <mergeCell ref="D86:E86"/>
    <mergeCell ref="I86:J86"/>
    <mergeCell ref="D87:E87"/>
    <mergeCell ref="I87:J87"/>
    <mergeCell ref="G92:H92"/>
    <mergeCell ref="G95:H95"/>
    <mergeCell ref="I93:J93"/>
    <mergeCell ref="D94:E94"/>
    <mergeCell ref="I94:J94"/>
    <mergeCell ref="D95:E95"/>
    <mergeCell ref="I95:J95"/>
    <mergeCell ref="D96:E96"/>
    <mergeCell ref="I96:J96"/>
    <mergeCell ref="G97:H97"/>
    <mergeCell ref="D97:E97"/>
    <mergeCell ref="I97:J97"/>
    <mergeCell ref="G93:H93"/>
    <mergeCell ref="G94:H94"/>
    <mergeCell ref="D93:E93"/>
    <mergeCell ref="G96:H96"/>
    <mergeCell ref="Q214:R214"/>
    <mergeCell ref="Q215:R215"/>
    <mergeCell ref="Q216:R216"/>
    <mergeCell ref="Q217:R217"/>
    <mergeCell ref="Q218:R218"/>
    <mergeCell ref="Q219:R219"/>
    <mergeCell ref="Q220:R220"/>
    <mergeCell ref="Q221:R221"/>
    <mergeCell ref="Q210:R210"/>
    <mergeCell ref="Q211:R211"/>
    <mergeCell ref="Q212:R212"/>
    <mergeCell ref="Q213:R213"/>
    <mergeCell ref="Q193:R193"/>
    <mergeCell ref="Q194:R194"/>
    <mergeCell ref="C121:M121"/>
    <mergeCell ref="C106:G106"/>
    <mergeCell ref="C104:E104"/>
    <mergeCell ref="C102:E102"/>
    <mergeCell ref="C114:E114"/>
    <mergeCell ref="H118:J118"/>
    <mergeCell ref="K118:M118"/>
    <mergeCell ref="F114:G114"/>
    <mergeCell ref="K111:K112"/>
    <mergeCell ref="L111:L112"/>
    <mergeCell ref="M111:M112"/>
    <mergeCell ref="H114:M114"/>
    <mergeCell ref="H116:J116"/>
    <mergeCell ref="K116:M116"/>
    <mergeCell ref="F102:G102"/>
    <mergeCell ref="Q239:R239"/>
    <mergeCell ref="Q222:R222"/>
    <mergeCell ref="Q223:R223"/>
    <mergeCell ref="Q224:R224"/>
    <mergeCell ref="Q225:R225"/>
    <mergeCell ref="Q226:R226"/>
    <mergeCell ref="Q227:R227"/>
    <mergeCell ref="Q228:R228"/>
    <mergeCell ref="Q229:R229"/>
    <mergeCell ref="Q230:R230"/>
    <mergeCell ref="Q231:R231"/>
    <mergeCell ref="Q232:R232"/>
    <mergeCell ref="Q233:R233"/>
    <mergeCell ref="Q234:R234"/>
    <mergeCell ref="Q235:R235"/>
    <mergeCell ref="Q236:R236"/>
    <mergeCell ref="Q240:R240"/>
    <mergeCell ref="Q241:R241"/>
    <mergeCell ref="Q242:R242"/>
    <mergeCell ref="Q252:R252"/>
    <mergeCell ref="Q243:R243"/>
    <mergeCell ref="Q244:R244"/>
    <mergeCell ref="Q245:R245"/>
    <mergeCell ref="Q246:R246"/>
    <mergeCell ref="Q247:R247"/>
    <mergeCell ref="Q248:R248"/>
    <mergeCell ref="Q249:R249"/>
    <mergeCell ref="Q250:R250"/>
    <mergeCell ref="Q251:R251"/>
    <mergeCell ref="C33:C34"/>
    <mergeCell ref="F33:F34"/>
    <mergeCell ref="C19:M19"/>
    <mergeCell ref="C21:E23"/>
    <mergeCell ref="C24:E25"/>
    <mergeCell ref="C26:E27"/>
    <mergeCell ref="F21:G22"/>
    <mergeCell ref="F23:G23"/>
    <mergeCell ref="F24:G25"/>
    <mergeCell ref="F26:G27"/>
    <mergeCell ref="L24:M25"/>
    <mergeCell ref="F31:M32"/>
    <mergeCell ref="G51:H51"/>
    <mergeCell ref="G52:H52"/>
    <mergeCell ref="G53:H53"/>
    <mergeCell ref="G54:H54"/>
    <mergeCell ref="G55:H55"/>
    <mergeCell ref="I70:J70"/>
    <mergeCell ref="I69:J69"/>
    <mergeCell ref="I77:J77"/>
    <mergeCell ref="I76:J76"/>
    <mergeCell ref="G69:H69"/>
    <mergeCell ref="G70:H70"/>
    <mergeCell ref="I63:J63"/>
    <mergeCell ref="I62:J62"/>
    <mergeCell ref="I61:J61"/>
    <mergeCell ref="I60:J60"/>
    <mergeCell ref="AM134:AN134"/>
    <mergeCell ref="AO131:AP131"/>
    <mergeCell ref="G84:H84"/>
    <mergeCell ref="G85:H85"/>
    <mergeCell ref="G86:H86"/>
    <mergeCell ref="G87:H87"/>
    <mergeCell ref="G58:H58"/>
    <mergeCell ref="G59:H59"/>
    <mergeCell ref="D90:E90"/>
    <mergeCell ref="K109:M109"/>
    <mergeCell ref="E109:G109"/>
    <mergeCell ref="H109:J109"/>
    <mergeCell ref="C109:D110"/>
    <mergeCell ref="G71:H71"/>
    <mergeCell ref="G72:H72"/>
    <mergeCell ref="G64:H64"/>
    <mergeCell ref="G62:H62"/>
    <mergeCell ref="G63:H63"/>
    <mergeCell ref="C108:M108"/>
    <mergeCell ref="L95:M95"/>
    <mergeCell ref="L96:M96"/>
    <mergeCell ref="L97:M97"/>
    <mergeCell ref="C111:D111"/>
    <mergeCell ref="C112:D112"/>
    <mergeCell ref="AP123:AQ123"/>
    <mergeCell ref="AN123:AO123"/>
    <mergeCell ref="G50:H50"/>
    <mergeCell ref="G57:H57"/>
    <mergeCell ref="G40:H40"/>
    <mergeCell ref="G41:H41"/>
    <mergeCell ref="H9:K17"/>
    <mergeCell ref="I40:J40"/>
    <mergeCell ref="H24:I25"/>
    <mergeCell ref="J24:K25"/>
    <mergeCell ref="I42:J42"/>
    <mergeCell ref="I35:J35"/>
    <mergeCell ref="F9:G9"/>
    <mergeCell ref="I34:J34"/>
    <mergeCell ref="H26:I27"/>
    <mergeCell ref="J26:K27"/>
    <mergeCell ref="F104:G104"/>
    <mergeCell ref="H106:I106"/>
    <mergeCell ref="I75:J75"/>
    <mergeCell ref="I74:J74"/>
    <mergeCell ref="I73:J73"/>
    <mergeCell ref="I52:J52"/>
    <mergeCell ref="I51:J51"/>
    <mergeCell ref="I54:J54"/>
    <mergeCell ref="D3:L3"/>
    <mergeCell ref="L26:M27"/>
    <mergeCell ref="F15:G15"/>
    <mergeCell ref="L21:M23"/>
    <mergeCell ref="J23:K23"/>
    <mergeCell ref="J21:K22"/>
    <mergeCell ref="H23:I23"/>
    <mergeCell ref="H21:I22"/>
    <mergeCell ref="G61:H61"/>
    <mergeCell ref="C5:D5"/>
    <mergeCell ref="E5:F5"/>
    <mergeCell ref="C7:D7"/>
    <mergeCell ref="I50:J50"/>
    <mergeCell ref="I49:J49"/>
    <mergeCell ref="I39:J39"/>
    <mergeCell ref="I38:J38"/>
    <mergeCell ref="I37:J37"/>
    <mergeCell ref="I43:J43"/>
    <mergeCell ref="I41:J41"/>
    <mergeCell ref="I55:J55"/>
    <mergeCell ref="I59:J59"/>
    <mergeCell ref="F11:G11"/>
    <mergeCell ref="G42:H42"/>
    <mergeCell ref="G43:H43"/>
  </mergeCells>
  <phoneticPr fontId="11" type="noConversion"/>
  <conditionalFormatting sqref="G35:G97">
    <cfRule type="expression" dxfId="15" priority="482">
      <formula>$D35=Angle</formula>
    </cfRule>
  </conditionalFormatting>
  <conditionalFormatting sqref="C15:G15">
    <cfRule type="expression" dxfId="14" priority="10">
      <formula>$E$5&lt;&gt;"Português Brasileiro"</formula>
    </cfRule>
  </conditionalFormatting>
  <conditionalFormatting sqref="D34:E97">
    <cfRule type="expression" dxfId="13" priority="822">
      <formula>$AM$23&gt;0</formula>
    </cfRule>
  </conditionalFormatting>
  <conditionalFormatting sqref="D36">
    <cfRule type="expression" dxfId="12" priority="9">
      <formula>$I$35=""</formula>
    </cfRule>
  </conditionalFormatting>
  <conditionalFormatting sqref="I36:J36">
    <cfRule type="expression" dxfId="11" priority="8">
      <formula>$D$36=""</formula>
    </cfRule>
  </conditionalFormatting>
  <conditionalFormatting sqref="D35:E97">
    <cfRule type="expression" dxfId="10" priority="7">
      <formula>$D34&lt;&gt;""</formula>
    </cfRule>
  </conditionalFormatting>
  <conditionalFormatting sqref="I35:J97">
    <cfRule type="expression" dxfId="9" priority="6">
      <formula>$D35&lt;&gt;""</formula>
    </cfRule>
  </conditionalFormatting>
  <conditionalFormatting sqref="I37:J37">
    <cfRule type="expression" dxfId="8" priority="5" stopIfTrue="1">
      <formula>OR($D37=Loop,$D37=End)</formula>
    </cfRule>
  </conditionalFormatting>
  <conditionalFormatting sqref="D38:E38">
    <cfRule type="expression" priority="4" stopIfTrue="1">
      <formula>OR($D37=End,$D37=Loop)</formula>
    </cfRule>
  </conditionalFormatting>
  <conditionalFormatting sqref="D36:E98">
    <cfRule type="expression" priority="2" stopIfTrue="1">
      <formula>OR($D35=Loop,$D35=End)</formula>
    </cfRule>
  </conditionalFormatting>
  <conditionalFormatting sqref="I36:J97">
    <cfRule type="expression" priority="1" stopIfTrue="1">
      <formula>OR($D36=Loop,$D36=End)</formula>
    </cfRule>
  </conditionalFormatting>
  <dataValidations count="9">
    <dataValidation type="list" allowBlank="1" showInputMessage="1" showErrorMessage="1" sqref="D34" xr:uid="{1BAC89C7-19EA-4854-98B9-702E2E56DFBC}">
      <formula1>Partenza</formula1>
    </dataValidation>
    <dataValidation type="decimal" operator="greaterThanOrEqual" allowBlank="1" showInputMessage="1" showErrorMessage="1" sqref="I35:J35" xr:uid="{C7283492-60D3-431D-BAED-2B0513AD50EB}">
      <formula1>2</formula1>
    </dataValidation>
    <dataValidation type="custom" allowBlank="1" showInputMessage="1" showErrorMessage="1" sqref="AR44" xr:uid="{EF587151-9EB1-47C6-8CD5-C0F5951C6B1A}">
      <formula1>IF(TRANSPOSE(AQ34:AW34)="","",TRANSPOSE(AQ34:AW34))</formula1>
    </dataValidation>
    <dataValidation type="list" allowBlank="1" showInputMessage="1" showErrorMessage="1" sqref="F9:G9" xr:uid="{B6A15435-3F5C-4DB0-9A43-D73F646983F7}">
      <formula1>TypSup</formula1>
    </dataValidation>
    <dataValidation type="list" allowBlank="1" showInputMessage="1" showErrorMessage="1" sqref="F11:G11" xr:uid="{E558BE79-6F95-4F56-B146-C24415A04B7E}">
      <formula1>AssTen</formula1>
    </dataValidation>
    <dataValidation type="list" allowBlank="1" showInputMessage="1" showErrorMessage="1" sqref="D35:E97" xr:uid="{247F53FB-93E3-49C5-92D9-4793195493DB}">
      <formula1>$AQ34:$AW34</formula1>
    </dataValidation>
    <dataValidation type="list" allowBlank="1" showInputMessage="1" showErrorMessage="1" sqref="E5:F5" xr:uid="{0D623B50-C6E2-4E8C-BBF7-543A1F00E5CB}">
      <formula1>MainLang</formula1>
    </dataValidation>
    <dataValidation type="custom" operator="greaterThanOrEqual" allowBlank="1" showErrorMessage="1" error="Wrong Angle_x000a_" sqref="I36:J36 I38:J38 I40:J40 I42:J42 I44:J44" xr:uid="{FDE4A551-59BD-48B4-A31F-ACEEFB228B94}">
      <formula1>AND(I36&gt;=2,AM23=0)</formula1>
    </dataValidation>
    <dataValidation type="custom" operator="greaterThanOrEqual" allowBlank="1" showInputMessage="1" showErrorMessage="1" sqref="I37:J37 I39:J39 I41:J41 I43:J43 I45:J97" xr:uid="{2B9E8F6E-BD9A-4822-B8AB-3AE3A950C3F8}">
      <formula1>AND(I37&gt;=2,AM23=0)</formula1>
    </dataValidation>
  </dataValidations>
  <printOptions horizontalCentered="1"/>
  <pageMargins left="3.937007874015748E-2" right="3.937007874015748E-2" top="0.19685039370078741" bottom="0.19685039370078741" header="0" footer="0"/>
  <pageSetup paperSize="9" scale="68" fitToHeight="0" orientation="portrait" r:id="rId1"/>
  <rowBreaks count="1" manualBreakCount="1">
    <brk id="100" max="16383" man="1"/>
  </rowBreaks>
  <drawing r:id="rId2"/>
  <legacyDrawing r:id="rId3"/>
  <legacyDrawingHF r:id="rId4"/>
  <mc:AlternateContent xmlns:mc="http://schemas.openxmlformats.org/markup-compatibility/2006">
    <mc:Choice Requires="x14">
      <controls>
        <mc:AlternateContent xmlns:mc="http://schemas.openxmlformats.org/markup-compatibility/2006">
          <mc:Choice Requires="x14">
            <control shapeId="1071" r:id="rId5" name="Button 47">
              <controlPr defaultSize="0" print="0" autoFill="0" autoPict="0" macro="[0]!SchermoLavoro">
                <anchor moveWithCells="1" sizeWithCells="1">
                  <from>
                    <xdr:col>24</xdr:col>
                    <xdr:colOff>104775</xdr:colOff>
                    <xdr:row>4</xdr:row>
                    <xdr:rowOff>66675</xdr:rowOff>
                  </from>
                  <to>
                    <xdr:col>25</xdr:col>
                    <xdr:colOff>638175</xdr:colOff>
                    <xdr:row>7</xdr:row>
                    <xdr:rowOff>9525</xdr:rowOff>
                  </to>
                </anchor>
              </controlPr>
            </control>
          </mc:Choice>
        </mc:AlternateContent>
        <mc:AlternateContent xmlns:mc="http://schemas.openxmlformats.org/markup-compatibility/2006">
          <mc:Choice Requires="x14">
            <control shapeId="1073" r:id="rId6" name="Button 49">
              <controlPr defaultSize="0" print="0" autoFill="0" autoPict="0" macro="[0]!TerminaModifiche">
                <anchor moveWithCells="1" sizeWithCells="1">
                  <from>
                    <xdr:col>24</xdr:col>
                    <xdr:colOff>180975</xdr:colOff>
                    <xdr:row>10</xdr:row>
                    <xdr:rowOff>47625</xdr:rowOff>
                  </from>
                  <to>
                    <xdr:col>26</xdr:col>
                    <xdr:colOff>238125</xdr:colOff>
                    <xdr:row>13</xdr:row>
                    <xdr:rowOff>9525</xdr:rowOff>
                  </to>
                </anchor>
              </controlPr>
            </control>
          </mc:Choice>
        </mc:AlternateContent>
        <mc:AlternateContent xmlns:mc="http://schemas.openxmlformats.org/markup-compatibility/2006">
          <mc:Choice Requires="x14">
            <control shapeId="1085" r:id="rId7" name="Button 61">
              <controlPr defaultSize="0" print="0" autoFill="0" autoPict="0" macro="[0]!SpostaScritte">
                <anchor moveWithCells="1" sizeWithCells="1">
                  <from>
                    <xdr:col>34</xdr:col>
                    <xdr:colOff>28575</xdr:colOff>
                    <xdr:row>141</xdr:row>
                    <xdr:rowOff>142875</xdr:rowOff>
                  </from>
                  <to>
                    <xdr:col>36</xdr:col>
                    <xdr:colOff>238125</xdr:colOff>
                    <xdr:row>143</xdr:row>
                    <xdr:rowOff>85725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85B70-C47C-44B0-BB85-C2980D6B3ADC}">
  <sheetPr codeName="A_Foglio2" filterMode="1">
    <pageSetUpPr fitToPage="1"/>
  </sheetPr>
  <dimension ref="A1:BQ366"/>
  <sheetViews>
    <sheetView topLeftCell="N104" zoomScaleNormal="100" zoomScaleSheetLayoutView="85" zoomScalePageLayoutView="55" workbookViewId="0">
      <selection activeCell="E9" sqref="E9:K9"/>
    </sheetView>
  </sheetViews>
  <sheetFormatPr defaultColWidth="10" defaultRowHeight="14.25"/>
  <cols>
    <col min="1" max="1" width="8.5" style="21" customWidth="1"/>
    <col min="2" max="2" width="10" style="21" customWidth="1"/>
    <col min="3" max="3" width="18" style="22" customWidth="1"/>
    <col min="4" max="4" width="12" style="22" customWidth="1"/>
    <col min="5" max="5" width="14.625" style="22" bestFit="1" customWidth="1"/>
    <col min="6" max="12" width="12" style="22" customWidth="1"/>
    <col min="13" max="13" width="8.5" style="21" customWidth="1"/>
    <col min="14" max="14" width="15.5" style="40" customWidth="1"/>
    <col min="15" max="15" width="14.375" style="40" customWidth="1"/>
    <col min="16" max="16" width="10.625" style="40" customWidth="1"/>
    <col min="17" max="17" width="13.25" style="40" customWidth="1"/>
    <col min="18" max="18" width="14.25" style="40" customWidth="1"/>
    <col min="19" max="20" width="10.625" style="40" customWidth="1"/>
    <col min="21" max="21" width="19.625" style="40" customWidth="1"/>
    <col min="22" max="22" width="12.375" style="40" customWidth="1"/>
    <col min="23" max="23" width="12.625" style="40" customWidth="1"/>
    <col min="24" max="24" width="10.625" style="40" customWidth="1"/>
    <col min="25" max="25" width="10.625" style="41" customWidth="1"/>
    <col min="26" max="26" width="10.625" style="40" customWidth="1"/>
    <col min="27" max="32" width="10" style="40" customWidth="1"/>
    <col min="33" max="33" width="15" style="40" customWidth="1"/>
    <col min="34" max="45" width="10" style="40" customWidth="1"/>
    <col min="46" max="46" width="10.75" style="21" customWidth="1"/>
    <col min="47" max="78" width="10" style="21" customWidth="1"/>
    <col min="79" max="16384" width="10" style="21"/>
  </cols>
  <sheetData>
    <row r="1" spans="1:37" ht="8.25" customHeight="1">
      <c r="A1" s="38"/>
      <c r="B1" s="38"/>
      <c r="C1" s="38"/>
      <c r="D1" s="38"/>
      <c r="E1" s="38"/>
      <c r="F1" s="38"/>
      <c r="G1" s="38"/>
      <c r="H1" s="38"/>
      <c r="I1" s="39"/>
      <c r="J1" s="38"/>
      <c r="K1" s="38"/>
      <c r="L1" s="38"/>
      <c r="M1" s="38"/>
    </row>
    <row r="2" spans="1:37" ht="15.75" customHeight="1">
      <c r="A2" s="38"/>
      <c r="B2" s="38"/>
      <c r="C2" s="38"/>
      <c r="D2" s="38"/>
      <c r="E2" s="38"/>
      <c r="F2" s="38"/>
      <c r="G2" s="38"/>
      <c r="H2" s="38"/>
      <c r="I2" s="39"/>
      <c r="J2" s="38"/>
      <c r="K2" s="38"/>
      <c r="L2" s="38"/>
      <c r="M2" s="38"/>
    </row>
    <row r="3" spans="1:37" ht="14.25" customHeight="1">
      <c r="A3" s="38"/>
      <c r="B3" s="38"/>
      <c r="C3" s="38"/>
      <c r="D3" s="38"/>
      <c r="E3" s="38"/>
      <c r="F3" s="38"/>
      <c r="G3" s="38"/>
      <c r="H3" s="38"/>
      <c r="I3" s="39"/>
      <c r="J3" s="38"/>
      <c r="K3" s="38"/>
      <c r="L3" s="38"/>
      <c r="M3" s="38"/>
      <c r="N3" s="42"/>
      <c r="S3" s="43"/>
      <c r="V3" s="43"/>
    </row>
    <row r="4" spans="1:37">
      <c r="A4" s="38"/>
      <c r="B4" s="38"/>
      <c r="C4" s="38"/>
      <c r="D4" s="38"/>
      <c r="E4" s="38"/>
      <c r="F4" s="39"/>
      <c r="G4" s="39"/>
      <c r="H4" s="38"/>
      <c r="I4" s="39"/>
      <c r="J4" s="44"/>
      <c r="K4" s="45" t="s">
        <v>96</v>
      </c>
      <c r="L4" s="39"/>
      <c r="M4" s="38"/>
      <c r="S4" s="43"/>
      <c r="V4" s="43"/>
      <c r="Z4" s="46">
        <v>0</v>
      </c>
      <c r="AA4" s="46">
        <v>0</v>
      </c>
      <c r="AC4" s="46" t="s">
        <v>97</v>
      </c>
      <c r="AD4" s="47" t="s">
        <v>98</v>
      </c>
      <c r="AI4" s="48" t="s">
        <v>99</v>
      </c>
    </row>
    <row r="5" spans="1:37" ht="18">
      <c r="A5" s="49"/>
      <c r="B5" s="49"/>
      <c r="C5" s="49"/>
      <c r="D5" s="49"/>
      <c r="E5" s="49"/>
      <c r="F5" s="49"/>
      <c r="G5" s="49"/>
      <c r="H5" s="49"/>
      <c r="I5" s="49"/>
      <c r="J5" s="49"/>
      <c r="K5" s="49"/>
      <c r="L5" s="49"/>
      <c r="M5" s="49"/>
      <c r="S5" s="43"/>
      <c r="U5" s="50" t="s">
        <v>100</v>
      </c>
      <c r="V5" s="43"/>
      <c r="W5" s="51" t="s">
        <v>101</v>
      </c>
      <c r="X5" s="51" t="s">
        <v>102</v>
      </c>
      <c r="Z5" s="46">
        <v>1</v>
      </c>
      <c r="AA5" s="46">
        <v>12</v>
      </c>
      <c r="AC5" s="51" t="s">
        <v>103</v>
      </c>
      <c r="AD5" s="52" t="s">
        <v>104</v>
      </c>
      <c r="AE5" s="53"/>
      <c r="AG5" s="46" t="s">
        <v>105</v>
      </c>
      <c r="AH5" s="46" t="s">
        <v>105</v>
      </c>
      <c r="AI5" s="54" t="s">
        <v>106</v>
      </c>
    </row>
    <row r="6" spans="1:37" ht="15" customHeight="1">
      <c r="A6" s="49"/>
      <c r="B6" s="49"/>
      <c r="C6" s="663" t="s">
        <v>107</v>
      </c>
      <c r="D6" s="663"/>
      <c r="E6" s="663"/>
      <c r="F6" s="663"/>
      <c r="G6" s="663"/>
      <c r="H6" s="663"/>
      <c r="I6" s="663"/>
      <c r="J6" s="663"/>
      <c r="K6" s="49"/>
      <c r="L6" s="49"/>
      <c r="M6" s="49"/>
      <c r="S6" s="43"/>
      <c r="U6" s="55" t="s">
        <v>108</v>
      </c>
      <c r="V6" s="43"/>
      <c r="W6" s="51"/>
      <c r="X6" s="51"/>
      <c r="Z6" s="46">
        <v>2</v>
      </c>
      <c r="AA6" s="46">
        <v>13</v>
      </c>
      <c r="AC6" s="51" t="str">
        <f>IF(E14=AC5,"uservalues","Rbcable")</f>
        <v>Rbcable</v>
      </c>
      <c r="AD6" s="53"/>
      <c r="AE6" s="53"/>
      <c r="AG6" s="51" t="s">
        <v>109</v>
      </c>
      <c r="AH6" s="51" t="s">
        <v>110</v>
      </c>
      <c r="AI6" s="56" t="s">
        <v>111</v>
      </c>
      <c r="AK6" s="40" t="s">
        <v>112</v>
      </c>
    </row>
    <row r="7" spans="1:37" ht="15" customHeight="1">
      <c r="A7" s="49"/>
      <c r="B7" s="49"/>
      <c r="C7" s="664" t="s">
        <v>113</v>
      </c>
      <c r="D7" s="664"/>
      <c r="E7" s="664"/>
      <c r="F7" s="664"/>
      <c r="G7" s="664"/>
      <c r="H7" s="664"/>
      <c r="I7" s="664"/>
      <c r="J7" s="664"/>
      <c r="K7" s="49"/>
      <c r="L7" s="49"/>
      <c r="M7" s="49"/>
      <c r="U7" s="55" t="s">
        <v>114</v>
      </c>
      <c r="W7" s="51"/>
      <c r="X7" s="51"/>
      <c r="Z7" s="46">
        <v>3</v>
      </c>
      <c r="AA7" s="46">
        <v>14</v>
      </c>
      <c r="AG7" s="57" t="s">
        <v>115</v>
      </c>
      <c r="AH7" s="46" t="s">
        <v>116</v>
      </c>
      <c r="AI7" s="56" t="s">
        <v>117</v>
      </c>
      <c r="AK7" s="40" t="s">
        <v>118</v>
      </c>
    </row>
    <row r="8" spans="1:37" ht="15" customHeight="1" thickBot="1">
      <c r="A8" s="49"/>
      <c r="B8" s="49"/>
      <c r="C8" s="49"/>
      <c r="D8" s="49"/>
      <c r="E8" s="49"/>
      <c r="F8" s="49"/>
      <c r="G8" s="49"/>
      <c r="H8" s="49"/>
      <c r="I8" s="49"/>
      <c r="J8" s="49"/>
      <c r="K8" s="49"/>
      <c r="L8" s="49"/>
      <c r="M8" s="49"/>
      <c r="N8" s="58"/>
      <c r="U8" s="55" t="s">
        <v>119</v>
      </c>
      <c r="W8" s="51"/>
      <c r="X8" s="51"/>
      <c r="Z8" s="46">
        <v>4</v>
      </c>
      <c r="AA8" s="46">
        <v>15</v>
      </c>
      <c r="AG8" s="57" t="s">
        <v>120</v>
      </c>
      <c r="AH8" s="46" t="s">
        <v>121</v>
      </c>
      <c r="AI8" s="56" t="s">
        <v>122</v>
      </c>
    </row>
    <row r="9" spans="1:37" ht="20.100000000000001" customHeight="1">
      <c r="B9" s="59"/>
      <c r="C9" s="665" t="s">
        <v>123</v>
      </c>
      <c r="D9" s="665"/>
      <c r="E9" s="666" t="s">
        <v>124</v>
      </c>
      <c r="F9" s="667"/>
      <c r="G9" s="667"/>
      <c r="H9" s="667"/>
      <c r="I9" s="667"/>
      <c r="J9" s="667"/>
      <c r="K9" s="668"/>
      <c r="L9" s="21"/>
      <c r="M9" s="59"/>
      <c r="N9" s="58"/>
      <c r="U9" s="46" t="s">
        <v>125</v>
      </c>
      <c r="W9" s="53"/>
      <c r="X9" s="53"/>
      <c r="Z9" s="46"/>
      <c r="AA9" s="46"/>
      <c r="AG9" s="51" t="s">
        <v>126</v>
      </c>
      <c r="AH9" s="51" t="s">
        <v>127</v>
      </c>
      <c r="AI9" s="56" t="s">
        <v>128</v>
      </c>
    </row>
    <row r="10" spans="1:37" ht="15" customHeight="1" thickBot="1">
      <c r="B10" s="59"/>
      <c r="C10" s="60"/>
      <c r="D10" s="60"/>
      <c r="E10" s="60"/>
      <c r="F10" s="60"/>
      <c r="G10" s="60"/>
      <c r="H10" s="60"/>
      <c r="I10" s="60"/>
      <c r="J10" s="60"/>
      <c r="K10" s="60"/>
      <c r="L10" s="59"/>
      <c r="M10" s="59"/>
      <c r="N10" s="58"/>
      <c r="W10" s="53"/>
      <c r="X10" s="53"/>
      <c r="Z10" s="46"/>
      <c r="AA10" s="46"/>
      <c r="AG10" s="51" t="s">
        <v>129</v>
      </c>
      <c r="AH10" s="51" t="s">
        <v>130</v>
      </c>
      <c r="AI10" s="56" t="s">
        <v>131</v>
      </c>
    </row>
    <row r="11" spans="1:37" ht="20.100000000000001" customHeight="1" thickBot="1">
      <c r="B11" s="61"/>
      <c r="C11" s="669" t="s">
        <v>132</v>
      </c>
      <c r="D11" s="669"/>
      <c r="E11" s="670" t="s">
        <v>112</v>
      </c>
      <c r="F11" s="671"/>
      <c r="G11" s="62"/>
      <c r="H11" s="63" t="s">
        <v>133</v>
      </c>
      <c r="I11" s="64">
        <f ca="1">TODAY()</f>
        <v>45209</v>
      </c>
      <c r="J11" s="65"/>
      <c r="K11" s="63"/>
      <c r="L11" s="66"/>
      <c r="M11" s="66"/>
      <c r="S11" s="43"/>
      <c r="T11" s="67"/>
      <c r="V11" s="43"/>
      <c r="Z11" s="46" t="s">
        <v>134</v>
      </c>
      <c r="AA11" s="68">
        <f>H18*SIGN(H18)</f>
        <v>15</v>
      </c>
      <c r="AG11" s="69" t="s">
        <v>135</v>
      </c>
      <c r="AH11" s="69" t="s">
        <v>130</v>
      </c>
      <c r="AI11" s="70" t="s">
        <v>131</v>
      </c>
    </row>
    <row r="12" spans="1:37" ht="20.100000000000001" customHeight="1" thickBot="1">
      <c r="B12" s="61"/>
      <c r="C12" s="669" t="s">
        <v>136</v>
      </c>
      <c r="D12" s="669"/>
      <c r="E12" s="670" t="s">
        <v>126</v>
      </c>
      <c r="F12" s="671"/>
      <c r="G12" s="71"/>
      <c r="H12" s="71"/>
      <c r="I12" s="63"/>
      <c r="J12" s="63"/>
      <c r="K12" s="63"/>
      <c r="L12" s="66"/>
      <c r="U12" s="46" t="s">
        <v>57</v>
      </c>
      <c r="V12" s="43"/>
      <c r="AG12" s="69" t="s">
        <v>137</v>
      </c>
      <c r="AH12" s="69" t="s">
        <v>130</v>
      </c>
      <c r="AI12" s="70" t="s">
        <v>131</v>
      </c>
    </row>
    <row r="13" spans="1:37" ht="15" customHeight="1" thickBot="1">
      <c r="B13" s="61"/>
      <c r="C13" s="65"/>
      <c r="D13" s="65"/>
      <c r="E13" s="65"/>
      <c r="F13" s="65"/>
      <c r="G13" s="63"/>
      <c r="H13" s="63"/>
      <c r="I13" s="63"/>
      <c r="J13" s="63"/>
      <c r="K13" s="202" t="s">
        <v>138</v>
      </c>
      <c r="L13" s="72">
        <v>8</v>
      </c>
      <c r="M13" s="160" t="s">
        <v>139</v>
      </c>
      <c r="AG13" s="40" t="s">
        <v>140</v>
      </c>
    </row>
    <row r="14" spans="1:37" ht="20.100000000000001" customHeight="1" thickBot="1">
      <c r="B14" s="61"/>
      <c r="C14" s="669" t="s">
        <v>141</v>
      </c>
      <c r="D14" s="669"/>
      <c r="E14" s="661" t="s">
        <v>97</v>
      </c>
      <c r="F14" s="662"/>
      <c r="G14" s="672" t="str">
        <f>VLOOKUP(E14,AC4:AD5,2,)</f>
        <v>Ø8 - 7 x 7 - stainless steel - AISI316</v>
      </c>
      <c r="H14" s="673"/>
      <c r="I14" s="673"/>
      <c r="J14" s="63"/>
      <c r="K14" s="202" t="s">
        <v>142</v>
      </c>
      <c r="L14" s="72">
        <v>64</v>
      </c>
      <c r="M14" s="160" t="s">
        <v>143</v>
      </c>
      <c r="Y14" s="40"/>
    </row>
    <row r="15" spans="1:37" ht="14.25" customHeight="1">
      <c r="B15" s="61"/>
      <c r="C15" s="65"/>
      <c r="D15" s="65"/>
      <c r="E15" s="65"/>
      <c r="F15" s="65"/>
      <c r="G15" s="63"/>
      <c r="H15" s="75"/>
      <c r="I15" s="63"/>
      <c r="J15" s="63"/>
      <c r="K15" s="202" t="s">
        <v>144</v>
      </c>
      <c r="L15" s="72">
        <v>110000</v>
      </c>
      <c r="M15" s="160" t="s">
        <v>145</v>
      </c>
      <c r="Y15" s="40"/>
    </row>
    <row r="16" spans="1:37" ht="15" hidden="1" customHeight="1">
      <c r="B16" s="61"/>
      <c r="C16" s="21"/>
      <c r="D16" s="21"/>
      <c r="E16" s="61"/>
      <c r="F16" s="21"/>
      <c r="G16" s="66"/>
      <c r="H16" s="75"/>
      <c r="K16" s="76" t="s">
        <v>146</v>
      </c>
      <c r="L16" s="77">
        <v>76977.100000000006</v>
      </c>
      <c r="M16" s="73" t="s">
        <v>147</v>
      </c>
      <c r="Y16" s="40"/>
      <c r="AG16" s="51"/>
      <c r="AH16" s="51"/>
      <c r="AI16" s="56"/>
    </row>
    <row r="17" spans="2:25" ht="15" customHeight="1" thickBot="1">
      <c r="B17" s="61"/>
      <c r="C17" s="63"/>
      <c r="D17" s="63"/>
      <c r="E17" s="63"/>
      <c r="F17" s="63"/>
      <c r="G17" s="63"/>
      <c r="H17" s="63"/>
      <c r="I17" s="63"/>
      <c r="J17" s="63"/>
      <c r="K17" s="63"/>
      <c r="L17" s="66"/>
      <c r="M17" s="66"/>
      <c r="Y17" s="40"/>
    </row>
    <row r="18" spans="2:25" ht="20.100000000000001" customHeight="1">
      <c r="B18" s="61"/>
      <c r="C18" s="78" t="s">
        <v>148</v>
      </c>
      <c r="D18" s="79"/>
      <c r="E18" s="661">
        <f>IF(E11=AK7,VLOOKUP(VLOOKUP(E12,AA100:AB107,2,FALSE),AA122:AE123,5,FALSE),VLOOKUP(VLOOKUP(E12,AA100:AB107,2,FALSE),AA111:AE113,5,FALSE))</f>
        <v>4</v>
      </c>
      <c r="F18" s="662"/>
      <c r="G18" s="74"/>
      <c r="H18" s="80">
        <v>-15</v>
      </c>
      <c r="I18" s="81" t="s">
        <v>149</v>
      </c>
      <c r="J18" s="63"/>
      <c r="K18" s="82"/>
      <c r="L18" s="66"/>
      <c r="M18" s="66"/>
      <c r="Y18" s="40"/>
    </row>
    <row r="19" spans="2:25" ht="15" customHeight="1">
      <c r="B19" s="61"/>
      <c r="C19" s="83"/>
      <c r="D19" s="83"/>
      <c r="E19" s="83"/>
      <c r="F19" s="83"/>
      <c r="G19" s="65"/>
      <c r="H19" s="63"/>
      <c r="I19" s="63"/>
      <c r="J19" s="63"/>
      <c r="K19" s="63"/>
      <c r="L19" s="66"/>
      <c r="M19" s="66"/>
      <c r="Y19" s="40"/>
    </row>
    <row r="20" spans="2:25" ht="20.100000000000001" customHeight="1">
      <c r="B20" s="653" t="s">
        <v>150</v>
      </c>
      <c r="C20" s="653"/>
      <c r="D20" s="653"/>
      <c r="E20" s="653"/>
      <c r="F20" s="653"/>
      <c r="G20" s="653"/>
      <c r="H20" s="63"/>
      <c r="I20" s="63"/>
      <c r="J20" s="63"/>
      <c r="K20" s="63"/>
      <c r="L20" s="66"/>
      <c r="M20" s="66"/>
      <c r="Y20" s="40"/>
    </row>
    <row r="21" spans="2:25" ht="20.100000000000001" customHeight="1">
      <c r="B21" s="653" t="s">
        <v>151</v>
      </c>
      <c r="C21" s="653"/>
      <c r="D21" s="203" t="s">
        <v>8</v>
      </c>
      <c r="E21" s="203" t="s">
        <v>152</v>
      </c>
      <c r="F21" s="203" t="s">
        <v>153</v>
      </c>
      <c r="G21" s="654" t="s">
        <v>154</v>
      </c>
      <c r="H21" s="63"/>
      <c r="I21" s="63"/>
      <c r="J21" s="63"/>
      <c r="K21" s="63"/>
      <c r="L21" s="66"/>
      <c r="M21" s="66"/>
      <c r="Y21" s="40"/>
    </row>
    <row r="22" spans="2:25" ht="20.100000000000001" customHeight="1">
      <c r="B22" s="653"/>
      <c r="C22" s="653"/>
      <c r="D22" s="203" t="s">
        <v>2</v>
      </c>
      <c r="E22" s="203" t="s">
        <v>2</v>
      </c>
      <c r="F22" s="203" t="s">
        <v>3</v>
      </c>
      <c r="G22" s="654"/>
      <c r="H22" s="63"/>
      <c r="I22" s="63"/>
      <c r="J22" s="63"/>
      <c r="K22" s="63"/>
      <c r="L22" s="66"/>
      <c r="M22" s="66"/>
      <c r="Y22" s="40"/>
    </row>
    <row r="23" spans="2:25" ht="20.100000000000001" customHeight="1">
      <c r="B23" s="655" t="str">
        <f>IF(VLOOKUP(E12,AA100:AB107,2,FALSE)="WALL","HORIZONTAL/WALL","HORIZONTAL")</f>
        <v>HORIZONTAL</v>
      </c>
      <c r="C23" s="655"/>
      <c r="D23" s="205" t="str">
        <f>+MaxSpan</f>
        <v/>
      </c>
      <c r="E23" s="206">
        <f>IF(E11=AK7,VLOOKUP(VLOOKUP(E12,AA100:AB107,2,FALSE),AA122:AE123,4,FALSE),VLOOKUP(VLOOKUP(E12,AA100:AB107,2,FALSE),AA111:AE113,4,FALSE))</f>
        <v>3.26</v>
      </c>
      <c r="F23" s="205">
        <f>IF(E11=AK7,VLOOKUP(VLOOKUP(E12,AA100:AB107,2,FALSE),AA122:AE123,3,FALSE),VLOOKUP(VLOOKUP(E12,AA100:AB107,2,FALSE),AA111:AE113,3,FALSE))</f>
        <v>16.5</v>
      </c>
      <c r="G23" s="204">
        <f>IF(E11=AK7,VLOOKUP(VLOOKUP(E12,AA100:AB107,2,FALSE),AA122:AE123,5,FALSE),VLOOKUP(VLOOKUP(E12,AA100:AB107,2,FALSE),AA111:AE113,5,FALSE))</f>
        <v>4</v>
      </c>
      <c r="H23" s="63"/>
      <c r="I23" s="83"/>
      <c r="J23" s="63"/>
      <c r="K23" s="63"/>
      <c r="L23" s="66"/>
      <c r="M23" s="66"/>
      <c r="Y23" s="40"/>
    </row>
    <row r="24" spans="2:25" ht="20.100000000000001" customHeight="1">
      <c r="B24" s="655" t="str">
        <f>IF(VLOOKUP(E12,AA100:AB107,2,FALSE)="WALL","HORIZONTAL/WALL","HORIZONTAL")</f>
        <v>HORIZONTAL</v>
      </c>
      <c r="C24" s="655"/>
      <c r="D24" s="205">
        <f>IF(E11=AK7,VLOOKUP(VLOOKUP(E12,AA100:AB107,2,FALSE),AG122:AK123,2,FALSE),VLOOKUP(VLOOKUP(E12,AA100:AB107,2,FALSE),AG111:AK113,2,FALSE))</f>
        <v>2</v>
      </c>
      <c r="E24" s="206">
        <f>IF(E11=AK7,VLOOKUP(VLOOKUP(E12,AA100:AB107,2,FALSE),AG122:AK123,4,FALSE),VLOOKUP(VLOOKUP(E12,AA100:AB107,2,FALSE),AG111:AK113,4,FALSE))</f>
        <v>1.26</v>
      </c>
      <c r="F24" s="205">
        <f>IF(E11=AK7,VLOOKUP(VLOOKUP(E12,AA100:AB107,2,FALSE),AG122:AK123,3,FALSE),VLOOKUP(VLOOKUP(E12,AA100:AB107,2,FALSE),AG111:AK113,3,FALSE))</f>
        <v>8.1999999999999993</v>
      </c>
      <c r="G24" s="204">
        <f>IF(E11=AK7,VLOOKUP(VLOOKUP(E12,AA100:AB107,2,FALSE),AG122:AK123,5,FALSE),VLOOKUP(VLOOKUP(E12,AA100:AB107,2,FALSE),AG111:AK113,5,FALSE))</f>
        <v>4</v>
      </c>
      <c r="H24" s="83"/>
      <c r="I24" s="63"/>
      <c r="J24" s="63"/>
      <c r="K24" s="63"/>
      <c r="L24" s="66"/>
      <c r="M24" s="66"/>
      <c r="Y24" s="40"/>
    </row>
    <row r="25" spans="2:25" ht="15" customHeight="1">
      <c r="B25" s="61"/>
      <c r="C25" s="83"/>
      <c r="D25" s="83"/>
      <c r="E25" s="83"/>
      <c r="F25" s="83"/>
      <c r="G25" s="63"/>
      <c r="H25" s="63"/>
      <c r="I25" s="63"/>
      <c r="J25" s="63"/>
      <c r="K25" s="63"/>
      <c r="L25" s="66"/>
      <c r="M25" s="66"/>
      <c r="Y25" s="40"/>
    </row>
    <row r="26" spans="2:25" ht="15" hidden="1" customHeight="1">
      <c r="B26" s="66"/>
      <c r="C26" s="66"/>
      <c r="D26" s="66"/>
      <c r="E26" s="66"/>
      <c r="F26" s="66"/>
      <c r="G26" s="66"/>
      <c r="H26" s="66"/>
      <c r="I26" s="66"/>
      <c r="J26" s="66"/>
      <c r="K26" s="66"/>
      <c r="L26" s="66"/>
      <c r="M26" s="66"/>
      <c r="Y26" s="40"/>
    </row>
    <row r="27" spans="2:25" ht="15" hidden="1" customHeight="1">
      <c r="B27" s="66"/>
      <c r="C27" s="66"/>
      <c r="D27" s="66"/>
      <c r="E27" s="66"/>
      <c r="G27" s="66"/>
      <c r="H27" s="66"/>
      <c r="I27" s="66"/>
      <c r="J27" s="66"/>
      <c r="K27" s="66"/>
      <c r="L27" s="66"/>
      <c r="M27" s="66"/>
      <c r="Y27" s="40"/>
    </row>
    <row r="28" spans="2:25" ht="15" hidden="1" customHeight="1">
      <c r="B28" s="66"/>
      <c r="C28" s="66"/>
      <c r="D28" s="66"/>
      <c r="G28" s="66"/>
      <c r="H28" s="66"/>
      <c r="I28" s="66"/>
      <c r="J28" s="66"/>
      <c r="K28" s="66"/>
      <c r="L28" s="66"/>
      <c r="M28" s="66"/>
      <c r="Y28" s="40"/>
    </row>
    <row r="29" spans="2:25" ht="15" hidden="1" customHeight="1">
      <c r="B29" s="66"/>
      <c r="C29" s="66"/>
      <c r="D29" s="66"/>
      <c r="E29" s="66"/>
      <c r="F29" s="66"/>
      <c r="G29" s="66"/>
      <c r="H29" s="66"/>
      <c r="I29" s="66"/>
      <c r="J29" s="66"/>
      <c r="K29" s="66"/>
      <c r="L29" s="66"/>
      <c r="M29" s="66"/>
      <c r="Y29" s="40"/>
    </row>
    <row r="30" spans="2:25" ht="15" hidden="1" customHeight="1">
      <c r="B30" s="66"/>
      <c r="C30" s="66"/>
      <c r="D30" s="66"/>
      <c r="E30" s="66"/>
      <c r="F30" s="66"/>
      <c r="G30" s="66"/>
      <c r="H30" s="66"/>
      <c r="I30" s="66"/>
      <c r="J30" s="66"/>
      <c r="K30" s="66"/>
      <c r="L30" s="66"/>
      <c r="M30" s="66"/>
      <c r="Y30" s="40"/>
    </row>
    <row r="31" spans="2:25" ht="15" customHeight="1">
      <c r="B31" s="66"/>
      <c r="C31" s="657" t="s">
        <v>155</v>
      </c>
      <c r="D31" s="657"/>
      <c r="E31" s="657"/>
      <c r="F31" s="657"/>
      <c r="G31" s="657"/>
      <c r="H31" s="657"/>
      <c r="I31" s="63"/>
      <c r="J31" s="63"/>
      <c r="K31" s="63"/>
      <c r="L31" s="66"/>
      <c r="M31" s="66"/>
      <c r="Y31" s="40"/>
    </row>
    <row r="32" spans="2:25" ht="15" customHeight="1">
      <c r="B32" s="66"/>
      <c r="C32" s="63"/>
      <c r="D32" s="63"/>
      <c r="E32" s="63"/>
      <c r="F32" s="63"/>
      <c r="G32" s="63"/>
      <c r="H32" s="63"/>
      <c r="I32" s="63"/>
      <c r="J32" s="63"/>
      <c r="K32" s="63"/>
      <c r="L32" s="66"/>
      <c r="M32" s="66"/>
      <c r="Y32" s="40"/>
    </row>
    <row r="33" spans="2:45" ht="20.100000000000001" customHeight="1" thickBot="1">
      <c r="B33" s="66"/>
      <c r="C33" s="63"/>
      <c r="D33" s="63"/>
      <c r="E33" s="84" t="s">
        <v>39</v>
      </c>
      <c r="F33" s="84" t="s">
        <v>40</v>
      </c>
      <c r="G33" s="63"/>
      <c r="H33" s="63"/>
      <c r="I33" s="63"/>
      <c r="J33" s="63"/>
      <c r="K33" s="63"/>
      <c r="L33" s="66"/>
      <c r="M33" s="66"/>
      <c r="Y33" s="40"/>
    </row>
    <row r="34" spans="2:45" ht="20.100000000000001" customHeight="1" thickBot="1">
      <c r="B34" s="66"/>
      <c r="C34" s="85" t="s">
        <v>156</v>
      </c>
      <c r="D34" s="65"/>
      <c r="E34" s="207">
        <v>0</v>
      </c>
      <c r="F34" s="150">
        <v>0</v>
      </c>
      <c r="G34" s="63" t="s">
        <v>157</v>
      </c>
      <c r="H34" s="63"/>
      <c r="I34" s="63"/>
      <c r="J34" s="63"/>
      <c r="K34" s="63"/>
      <c r="L34" s="66"/>
      <c r="M34" s="66"/>
      <c r="Y34" s="40"/>
    </row>
    <row r="35" spans="2:45" ht="15" customHeight="1">
      <c r="B35" s="66"/>
      <c r="C35" s="65"/>
      <c r="D35" s="65"/>
      <c r="E35" s="63"/>
      <c r="F35" s="63"/>
      <c r="G35" s="63"/>
      <c r="H35" s="63"/>
      <c r="I35" s="63"/>
      <c r="J35" s="63"/>
      <c r="K35" s="63"/>
      <c r="L35" s="66"/>
      <c r="M35" s="66"/>
      <c r="Y35" s="40"/>
    </row>
    <row r="36" spans="2:45" ht="20.100000000000001" customHeight="1">
      <c r="B36" s="66"/>
      <c r="C36" s="86" t="s">
        <v>158</v>
      </c>
      <c r="D36" s="65"/>
      <c r="E36" s="87">
        <f>+TotLung</f>
        <v>0</v>
      </c>
      <c r="F36" s="63" t="s">
        <v>157</v>
      </c>
      <c r="G36" s="63"/>
      <c r="H36" s="63"/>
      <c r="I36" s="63"/>
      <c r="J36" s="63"/>
      <c r="K36" s="63"/>
      <c r="L36" s="66"/>
      <c r="M36" s="66"/>
      <c r="Y36" s="40"/>
    </row>
    <row r="37" spans="2:45" ht="15" customHeight="1">
      <c r="B37" s="66"/>
      <c r="C37" s="63"/>
      <c r="D37" s="63"/>
      <c r="E37" s="63"/>
      <c r="F37" s="63"/>
      <c r="G37" s="63"/>
      <c r="H37" s="63"/>
      <c r="I37" s="63"/>
      <c r="J37" s="63"/>
      <c r="K37" s="63"/>
      <c r="L37" s="66"/>
      <c r="M37" s="66"/>
      <c r="Y37" s="40"/>
    </row>
    <row r="38" spans="2:45" s="88" customFormat="1" ht="15" customHeight="1">
      <c r="C38" s="94" t="s">
        <v>159</v>
      </c>
      <c r="D38" s="89"/>
      <c r="E38" s="89"/>
      <c r="F38" s="65"/>
      <c r="G38" s="90"/>
      <c r="H38" s="65"/>
      <c r="I38" s="91"/>
      <c r="J38" s="92"/>
      <c r="K38" s="92"/>
      <c r="L38" s="92"/>
      <c r="M38" s="21"/>
      <c r="N38" s="40"/>
      <c r="O38" s="53"/>
      <c r="P38" s="53"/>
      <c r="Q38" s="53"/>
      <c r="R38" s="53"/>
      <c r="S38" s="53"/>
      <c r="T38" s="53"/>
      <c r="U38" s="53"/>
      <c r="V38" s="53"/>
      <c r="W38" s="53"/>
      <c r="X38" s="53"/>
      <c r="Y38" s="53"/>
      <c r="Z38" s="53"/>
      <c r="AA38" s="53"/>
      <c r="AB38" s="53"/>
      <c r="AC38" s="53"/>
      <c r="AD38" s="53"/>
      <c r="AE38" s="53"/>
      <c r="AF38" s="53"/>
      <c r="AG38" s="53"/>
      <c r="AH38" s="53"/>
      <c r="AI38" s="53"/>
      <c r="AJ38" s="53"/>
      <c r="AK38" s="53"/>
      <c r="AL38" s="53"/>
      <c r="AM38" s="53"/>
      <c r="AN38" s="53"/>
      <c r="AO38" s="53"/>
      <c r="AP38" s="53"/>
      <c r="AQ38" s="53"/>
      <c r="AR38" s="53"/>
      <c r="AS38" s="53"/>
    </row>
    <row r="39" spans="2:45" s="88" customFormat="1" ht="30" customHeight="1" thickBot="1">
      <c r="B39" s="658" t="s">
        <v>160</v>
      </c>
      <c r="C39" s="659"/>
      <c r="D39" s="659"/>
      <c r="E39" s="659"/>
      <c r="F39" s="659"/>
      <c r="G39" s="96"/>
      <c r="H39" s="95"/>
      <c r="I39" s="97"/>
      <c r="J39" s="98"/>
      <c r="K39" s="98"/>
      <c r="L39" s="22"/>
      <c r="M39" s="21"/>
      <c r="N39" s="40"/>
      <c r="O39" s="53" t="s">
        <v>161</v>
      </c>
      <c r="P39" s="53"/>
      <c r="Q39" s="53"/>
      <c r="R39" s="53"/>
      <c r="S39" s="53"/>
      <c r="T39" s="53"/>
      <c r="U39" s="53"/>
      <c r="V39" s="53"/>
      <c r="W39" s="99"/>
      <c r="X39" s="53"/>
      <c r="Y39" s="53"/>
      <c r="Z39" s="53"/>
      <c r="AA39" s="53"/>
      <c r="AB39" s="53"/>
      <c r="AC39" s="53"/>
      <c r="AD39" s="53"/>
      <c r="AE39" s="53"/>
      <c r="AF39" s="53"/>
      <c r="AG39" s="53"/>
      <c r="AH39" s="53"/>
      <c r="AI39" s="53"/>
      <c r="AJ39" s="53"/>
      <c r="AK39" s="53"/>
      <c r="AL39" s="53"/>
      <c r="AM39" s="53"/>
      <c r="AN39" s="53"/>
      <c r="AO39" s="53"/>
      <c r="AP39" s="53"/>
      <c r="AQ39" s="53"/>
      <c r="AR39" s="53"/>
      <c r="AS39" s="53"/>
    </row>
    <row r="40" spans="2:45" s="88" customFormat="1" ht="15" thickBot="1">
      <c r="B40" s="660"/>
      <c r="C40" s="660"/>
      <c r="D40" s="660"/>
      <c r="E40" s="660"/>
      <c r="F40" s="660"/>
      <c r="G40" s="100"/>
      <c r="I40" s="22"/>
      <c r="J40" s="656"/>
      <c r="K40" s="656"/>
      <c r="L40" s="656"/>
      <c r="M40" s="22"/>
      <c r="N40" s="40"/>
      <c r="O40" s="101" t="s">
        <v>162</v>
      </c>
      <c r="P40" s="53"/>
      <c r="Q40" s="53"/>
      <c r="R40" s="53"/>
      <c r="S40" s="53"/>
      <c r="T40" s="53"/>
      <c r="U40" s="53"/>
      <c r="V40" s="53"/>
      <c r="W40" s="53"/>
      <c r="X40" s="53"/>
      <c r="Y40" s="53"/>
      <c r="Z40" s="53"/>
      <c r="AA40" s="53"/>
      <c r="AB40" s="53"/>
      <c r="AC40" s="53"/>
      <c r="AD40" s="53"/>
      <c r="AE40" s="53"/>
      <c r="AF40" s="53"/>
      <c r="AG40" s="53"/>
      <c r="AH40" s="53"/>
      <c r="AI40" s="53"/>
      <c r="AJ40" s="53"/>
      <c r="AK40" s="53"/>
      <c r="AL40" s="53"/>
      <c r="AM40" s="53"/>
      <c r="AN40" s="53"/>
      <c r="AO40" s="53"/>
      <c r="AP40" s="53"/>
      <c r="AQ40" s="53"/>
      <c r="AR40" s="53"/>
      <c r="AS40" s="53"/>
    </row>
    <row r="41" spans="2:45" s="88" customFormat="1" ht="15" thickBot="1">
      <c r="B41" s="643" t="s">
        <v>163</v>
      </c>
      <c r="C41" s="644"/>
      <c r="D41" s="644"/>
      <c r="E41" s="644"/>
      <c r="F41" s="645"/>
      <c r="G41" s="22"/>
      <c r="H41" s="22"/>
      <c r="I41" s="93"/>
      <c r="J41" s="646"/>
      <c r="K41" s="646"/>
      <c r="L41" s="646"/>
      <c r="N41" s="53"/>
      <c r="O41" s="102">
        <f>MAX(B43:B96,J43:J96)</f>
        <v>7</v>
      </c>
      <c r="P41" s="53"/>
      <c r="Q41" s="53"/>
      <c r="R41" s="53"/>
      <c r="S41" s="53"/>
      <c r="T41" s="53"/>
      <c r="U41" s="53"/>
      <c r="V41" s="53"/>
      <c r="W41" s="53"/>
      <c r="X41" s="53"/>
      <c r="Y41" s="53"/>
      <c r="Z41" s="53"/>
      <c r="AA41" s="53"/>
      <c r="AB41" s="53"/>
      <c r="AC41" s="53"/>
      <c r="AD41" s="103" t="s">
        <v>164</v>
      </c>
      <c r="AE41" s="104" t="s">
        <v>165</v>
      </c>
      <c r="AF41" s="53"/>
      <c r="AG41" s="53"/>
      <c r="AH41" s="53"/>
      <c r="AI41" s="53"/>
      <c r="AJ41" s="53"/>
      <c r="AK41" s="53"/>
      <c r="AL41" s="104" t="s">
        <v>10</v>
      </c>
      <c r="AM41" s="104" t="s">
        <v>166</v>
      </c>
      <c r="AN41" s="105" t="s">
        <v>167</v>
      </c>
      <c r="AO41" s="53"/>
      <c r="AP41" s="53"/>
      <c r="AQ41" s="53"/>
      <c r="AR41" s="53"/>
      <c r="AS41" s="53"/>
    </row>
    <row r="42" spans="2:45" s="88" customFormat="1" ht="15" customHeight="1" thickBot="1">
      <c r="B42" s="106" t="s">
        <v>168</v>
      </c>
      <c r="C42" s="107" t="s">
        <v>169</v>
      </c>
      <c r="D42" s="108" t="s">
        <v>170</v>
      </c>
      <c r="E42" s="108" t="s">
        <v>171</v>
      </c>
      <c r="F42" s="109" t="s">
        <v>172</v>
      </c>
      <c r="G42" s="110"/>
      <c r="J42" s="93"/>
      <c r="K42" s="93"/>
      <c r="L42" s="93"/>
      <c r="M42" s="111"/>
      <c r="N42" s="53"/>
      <c r="O42" s="53"/>
      <c r="P42" s="53"/>
      <c r="Q42" s="53"/>
      <c r="R42" s="53"/>
      <c r="S42" s="53"/>
      <c r="T42" s="53"/>
      <c r="U42" s="53"/>
      <c r="V42" s="53"/>
      <c r="W42" s="53"/>
      <c r="X42" s="53"/>
      <c r="Y42" s="53"/>
      <c r="Z42" s="53"/>
      <c r="AA42" s="53"/>
      <c r="AB42" s="112" t="s">
        <v>171</v>
      </c>
      <c r="AC42" s="53"/>
      <c r="AD42" s="113" t="s">
        <v>173</v>
      </c>
      <c r="AE42" s="104" t="s">
        <v>149</v>
      </c>
      <c r="AF42" s="53" t="s">
        <v>174</v>
      </c>
      <c r="AG42" s="53" t="s">
        <v>175</v>
      </c>
      <c r="AH42" s="114" t="s">
        <v>176</v>
      </c>
      <c r="AI42" s="53" t="s">
        <v>177</v>
      </c>
      <c r="AJ42" s="53" t="s">
        <v>175</v>
      </c>
      <c r="AK42" s="53" t="s">
        <v>178</v>
      </c>
      <c r="AL42" s="104" t="s">
        <v>149</v>
      </c>
      <c r="AM42" s="104" t="s">
        <v>149</v>
      </c>
      <c r="AN42" s="104" t="s">
        <v>179</v>
      </c>
      <c r="AO42" s="53"/>
      <c r="AP42" s="104" t="s">
        <v>39</v>
      </c>
      <c r="AQ42" s="104" t="s">
        <v>40</v>
      </c>
      <c r="AR42" s="53"/>
      <c r="AS42" s="53"/>
    </row>
    <row r="43" spans="2:45" s="88" customFormat="1" ht="20.25" thickBot="1">
      <c r="B43" s="208">
        <v>1</v>
      </c>
      <c r="C43" s="209">
        <v>2</v>
      </c>
      <c r="D43" s="115" t="s">
        <v>100</v>
      </c>
      <c r="E43" s="116">
        <v>10</v>
      </c>
      <c r="F43" s="117"/>
      <c r="J43" s="93"/>
      <c r="K43" s="118"/>
      <c r="L43" s="118"/>
      <c r="N43" s="119"/>
      <c r="O43" s="120" t="str">
        <f>IF(AND(OR(K43&lt;&gt;"", L43&lt;&gt;""), OR(D43&lt;&gt;"", E43&lt;&gt;"")), "! ! ! Do not fill both tables", "")</f>
        <v/>
      </c>
      <c r="P43" s="121">
        <f>IF(O43="",0,1)</f>
        <v>0</v>
      </c>
      <c r="Q43" s="53"/>
      <c r="R43" s="122" t="s">
        <v>180</v>
      </c>
      <c r="S43" s="53"/>
      <c r="T43" s="53"/>
      <c r="U43" s="53"/>
      <c r="V43" s="53"/>
      <c r="W43" s="53"/>
      <c r="X43" s="53"/>
      <c r="Y43" s="53"/>
      <c r="Z43" s="53"/>
      <c r="AA43" s="53"/>
      <c r="AB43" s="123" t="str">
        <f t="shared" ref="AB43:AB52" si="0">IF(F290=0,"",F290)</f>
        <v/>
      </c>
      <c r="AC43" s="53"/>
      <c r="AD43" s="124">
        <f t="shared" ref="AD43:AD95" si="1">IF(IF(AI43=$E$100,1,0)=1, $E$18,0)</f>
        <v>0</v>
      </c>
      <c r="AE43" s="104">
        <f t="shared" ref="AE43:AE95" si="2">VLOOKUP(AD43,$Z$4:$AA$11,2,)*IF(AF43="Y",-1,1)</f>
        <v>0</v>
      </c>
      <c r="AF43" s="104" t="str">
        <f t="shared" ref="AF43:AF95" si="3">IF(AND($E$18="user",$H$18&lt;0),"Y","N")</f>
        <v>N</v>
      </c>
      <c r="AG43" s="125" t="str">
        <f t="shared" ref="AG43:AG96" si="4">IF(AND(OR(D43="",E43=""),OR(K43="",L43=""),AD43&lt;&gt;0),"The span where the force has been placed do not exist ! ! !","ok")</f>
        <v>ok</v>
      </c>
      <c r="AH43" s="126" t="str">
        <f>$E$12</f>
        <v>TOWER</v>
      </c>
      <c r="AI43" s="53">
        <v>1</v>
      </c>
      <c r="AJ43" s="53">
        <f>IF(AG43="ok",0,1)</f>
        <v>0</v>
      </c>
      <c r="AK43" s="127" t="s">
        <v>101</v>
      </c>
      <c r="AL43" s="128">
        <f t="shared" ref="AL43:AL95" si="5">ROUND(AE43*SIN(90*PI()/180+ATAN(1/IF(G290-G289=0,(H290-H289)/(G290-G289+0.00001),IF(H290=0,(H290+0.00001-H289)/(G290-G289),IF(G290=0,(H290-H289)/(G290+0.00001-G289),IF(H290-H289=0, (H290-H289+0.00001)/(G290-G289), (H290-H289)/(G290-G289))))))),2)</f>
        <v>0</v>
      </c>
      <c r="AM43" s="128">
        <f t="shared" ref="AM43:AM95" si="6">ROUND(AE43*COS(90*PI()/180+ATAN(1/IF(G290-G289=0,(H290-H289)/(G290-G289+0.00001), IF(H290=0,(H290+0.00001-H289)/(G290-G289),IF(G290=0,(H290-H289)/(G290+0.00001-G289),IF(H290-H289=0,(H290-H289+0.00001)/(G290-G289),(H290-H289)/(G290-G289))))))),2)</f>
        <v>0</v>
      </c>
      <c r="AN43" s="129" t="e">
        <f t="shared" ref="AN43:AN95" si="7">DEGREES(IF(AND(AL43&gt;0,AM43&gt;=0),ATAN(ABS(AM43/AL43)),IF(AND(AL43&gt;0,AM43&lt;0),-PI()/2+ATAN(ABS(AM43/AL43)),IF(AND(AL43&lt;0,AM43&gt;0),PI()/2+ATAN(ABS(AM43/AL43)),IF(AND(AL43&lt;0,AM43&lt;=0),PI()+ATAN(ABS(AM43/AL43)),IF(AND(AL43=0,AM43&gt;0),0.5*PI(),IF(AND(AL43=0,AM43&lt;0),-0.5*PI(),"Fx et Fy = ?")))))))</f>
        <v>#VALUE!</v>
      </c>
      <c r="AO43" s="53"/>
      <c r="AP43" s="129">
        <f>(SupLL!G290+SupLL!G289)/2</f>
        <v>5</v>
      </c>
      <c r="AQ43" s="129">
        <f>(SupLL!H290+SupLL!H289)/2</f>
        <v>0</v>
      </c>
      <c r="AR43" s="53"/>
      <c r="AS43" s="53"/>
    </row>
    <row r="44" spans="2:45" s="88" customFormat="1" ht="20.25" thickBot="1">
      <c r="B44" s="210">
        <f t="shared" ref="B44:B96" si="8">IF(OR(D43&lt;&gt;"",D43&lt;&gt;"End"),IF(AND(E43="",D43=""),IF(B43&lt;10, +C43, 0),+C43),0)</f>
        <v>2</v>
      </c>
      <c r="C44" s="211">
        <f t="shared" ref="C44:C96" si="9">IF(D44="Loop",$B$43,IF(OR(D44&lt;&gt;"",E44&lt;&gt;"",AND(C43&lt;10,ROW(C43)&lt;48)),C43+1,0))</f>
        <v>3</v>
      </c>
      <c r="D44" s="115" t="s">
        <v>114</v>
      </c>
      <c r="E44" s="116">
        <v>5</v>
      </c>
      <c r="F44" s="130"/>
      <c r="J44" s="93"/>
      <c r="K44" s="118"/>
      <c r="L44" s="118"/>
      <c r="N44" s="53"/>
      <c r="O44" s="131" t="str">
        <f t="shared" ref="O44:O96" si="10">IF(AND(OR(K44&lt;&gt;"", L44&lt;&gt;""), OR(D44&lt;&gt;"", E44&lt;&gt;"")), "! ! ! Do not fill both tables", "")</f>
        <v/>
      </c>
      <c r="P44" s="132">
        <f t="shared" ref="P44:P96" si="11">IF(O44="",0,1)</f>
        <v>0</v>
      </c>
      <c r="Q44" s="53"/>
      <c r="R44" s="133" t="s">
        <v>181</v>
      </c>
      <c r="S44" s="53"/>
      <c r="T44" s="53"/>
      <c r="U44" s="53"/>
      <c r="V44" s="53"/>
      <c r="W44" s="53"/>
      <c r="X44" s="53"/>
      <c r="Y44" s="53"/>
      <c r="Z44" s="53"/>
      <c r="AA44" s="53"/>
      <c r="AB44" s="134" t="str">
        <f t="shared" si="0"/>
        <v/>
      </c>
      <c r="AC44" s="53"/>
      <c r="AD44" s="124">
        <f t="shared" si="1"/>
        <v>0</v>
      </c>
      <c r="AE44" s="104">
        <f t="shared" si="2"/>
        <v>0</v>
      </c>
      <c r="AF44" s="104" t="str">
        <f t="shared" si="3"/>
        <v>N</v>
      </c>
      <c r="AG44" s="125" t="str">
        <f t="shared" si="4"/>
        <v>ok</v>
      </c>
      <c r="AH44" s="126" t="str">
        <f t="shared" ref="AH44:AH61" si="12">$E$12</f>
        <v>TOWER</v>
      </c>
      <c r="AI44" s="53">
        <v>2</v>
      </c>
      <c r="AJ44" s="53">
        <f t="shared" ref="AJ44:AJ96" si="13">IF(AG44="ok",0,1)</f>
        <v>0</v>
      </c>
      <c r="AK44" s="53"/>
      <c r="AL44" s="128">
        <f t="shared" si="5"/>
        <v>0</v>
      </c>
      <c r="AM44" s="128">
        <f t="shared" si="6"/>
        <v>0</v>
      </c>
      <c r="AN44" s="129" t="e">
        <f t="shared" si="7"/>
        <v>#VALUE!</v>
      </c>
      <c r="AO44" s="53"/>
      <c r="AP44" s="129">
        <f>(SupLL!G291+SupLL!G290)/2</f>
        <v>10</v>
      </c>
      <c r="AQ44" s="129">
        <f>(SupLL!H291+SupLL!H290)/2</f>
        <v>2.5</v>
      </c>
      <c r="AR44" s="53"/>
      <c r="AS44" s="53"/>
    </row>
    <row r="45" spans="2:45" s="88" customFormat="1" ht="20.25" thickBot="1">
      <c r="B45" s="210">
        <f t="shared" si="8"/>
        <v>3</v>
      </c>
      <c r="C45" s="211">
        <f t="shared" si="9"/>
        <v>4</v>
      </c>
      <c r="D45" s="115" t="s">
        <v>100</v>
      </c>
      <c r="E45" s="116">
        <v>6</v>
      </c>
      <c r="F45" s="135"/>
      <c r="J45" s="93"/>
      <c r="K45" s="118"/>
      <c r="L45" s="118"/>
      <c r="N45" s="53"/>
      <c r="O45" s="131" t="str">
        <f t="shared" si="10"/>
        <v/>
      </c>
      <c r="P45" s="132">
        <f t="shared" si="11"/>
        <v>0</v>
      </c>
      <c r="Q45" s="53"/>
      <c r="R45" s="53"/>
      <c r="S45" s="53"/>
      <c r="T45" s="53"/>
      <c r="U45" s="53"/>
      <c r="V45" s="53"/>
      <c r="W45" s="53"/>
      <c r="X45" s="53"/>
      <c r="Y45" s="53"/>
      <c r="Z45" s="53"/>
      <c r="AA45" s="53"/>
      <c r="AB45" s="134" t="str">
        <f t="shared" si="0"/>
        <v/>
      </c>
      <c r="AC45" s="53"/>
      <c r="AD45" s="124">
        <f t="shared" si="1"/>
        <v>0</v>
      </c>
      <c r="AE45" s="104">
        <f t="shared" si="2"/>
        <v>0</v>
      </c>
      <c r="AF45" s="104" t="str">
        <f t="shared" si="3"/>
        <v>N</v>
      </c>
      <c r="AG45" s="125" t="str">
        <f t="shared" si="4"/>
        <v>ok</v>
      </c>
      <c r="AH45" s="126" t="str">
        <f t="shared" si="12"/>
        <v>TOWER</v>
      </c>
      <c r="AI45" s="53">
        <v>3</v>
      </c>
      <c r="AJ45" s="53">
        <f t="shared" si="13"/>
        <v>0</v>
      </c>
      <c r="AK45" s="53"/>
      <c r="AL45" s="128">
        <f t="shared" si="5"/>
        <v>0</v>
      </c>
      <c r="AM45" s="128">
        <f t="shared" si="6"/>
        <v>0</v>
      </c>
      <c r="AN45" s="129" t="e">
        <f t="shared" si="7"/>
        <v>#VALUE!</v>
      </c>
      <c r="AO45" s="53"/>
      <c r="AP45" s="129">
        <f>(SupLL!G292+SupLL!G291)/2</f>
        <v>13</v>
      </c>
      <c r="AQ45" s="129">
        <f>(SupLL!H292+SupLL!H291)/2</f>
        <v>5</v>
      </c>
      <c r="AR45" s="53"/>
      <c r="AS45" s="53"/>
    </row>
    <row r="46" spans="2:45" s="88" customFormat="1" ht="20.25" thickBot="1">
      <c r="B46" s="210">
        <f t="shared" si="8"/>
        <v>4</v>
      </c>
      <c r="C46" s="211">
        <f t="shared" si="9"/>
        <v>5</v>
      </c>
      <c r="D46" s="115" t="s">
        <v>119</v>
      </c>
      <c r="E46" s="116">
        <v>10</v>
      </c>
      <c r="F46" s="130"/>
      <c r="J46" s="93"/>
      <c r="K46" s="118"/>
      <c r="L46" s="118"/>
      <c r="N46" s="53"/>
      <c r="O46" s="131" t="str">
        <f t="shared" si="10"/>
        <v/>
      </c>
      <c r="P46" s="132">
        <f t="shared" si="11"/>
        <v>0</v>
      </c>
      <c r="Q46" s="53"/>
      <c r="R46" s="53"/>
      <c r="S46" s="53"/>
      <c r="T46" s="53"/>
      <c r="U46" s="53"/>
      <c r="V46" s="53"/>
      <c r="W46" s="53"/>
      <c r="X46" s="53"/>
      <c r="Y46" s="53"/>
      <c r="Z46" s="53"/>
      <c r="AA46" s="53"/>
      <c r="AB46" s="134" t="str">
        <f t="shared" si="0"/>
        <v/>
      </c>
      <c r="AC46" s="53"/>
      <c r="AD46" s="124">
        <f t="shared" si="1"/>
        <v>0</v>
      </c>
      <c r="AE46" s="104">
        <f t="shared" si="2"/>
        <v>0</v>
      </c>
      <c r="AF46" s="104" t="str">
        <f t="shared" si="3"/>
        <v>N</v>
      </c>
      <c r="AG46" s="125" t="str">
        <f t="shared" si="4"/>
        <v>ok</v>
      </c>
      <c r="AH46" s="126" t="str">
        <f t="shared" si="12"/>
        <v>TOWER</v>
      </c>
      <c r="AI46" s="53">
        <v>4</v>
      </c>
      <c r="AJ46" s="53">
        <f t="shared" si="13"/>
        <v>0</v>
      </c>
      <c r="AK46" s="53"/>
      <c r="AL46" s="128">
        <f t="shared" si="5"/>
        <v>0</v>
      </c>
      <c r="AM46" s="128">
        <f t="shared" si="6"/>
        <v>0</v>
      </c>
      <c r="AN46" s="129" t="e">
        <f t="shared" si="7"/>
        <v>#VALUE!</v>
      </c>
      <c r="AO46" s="53"/>
      <c r="AP46" s="129">
        <f>(SupLL!G293+SupLL!G292)/2</f>
        <v>16</v>
      </c>
      <c r="AQ46" s="129">
        <f>(SupLL!H293+SupLL!H292)/2</f>
        <v>0</v>
      </c>
      <c r="AR46" s="53"/>
      <c r="AS46" s="53"/>
    </row>
    <row r="47" spans="2:45" s="88" customFormat="1" ht="18.75" thickBot="1">
      <c r="B47" s="210">
        <f t="shared" si="8"/>
        <v>5</v>
      </c>
      <c r="C47" s="211">
        <f t="shared" si="9"/>
        <v>6</v>
      </c>
      <c r="D47" s="115" t="s">
        <v>108</v>
      </c>
      <c r="E47" s="116">
        <v>12.5</v>
      </c>
      <c r="F47" s="117"/>
      <c r="J47" s="93"/>
      <c r="K47" s="118"/>
      <c r="L47" s="118"/>
      <c r="N47" s="53"/>
      <c r="O47" s="131" t="str">
        <f t="shared" si="10"/>
        <v/>
      </c>
      <c r="P47" s="132">
        <f t="shared" si="11"/>
        <v>0</v>
      </c>
      <c r="Q47" s="53"/>
      <c r="R47" s="53"/>
      <c r="S47" s="53"/>
      <c r="T47" s="53"/>
      <c r="U47" s="53"/>
      <c r="V47" s="53"/>
      <c r="W47" s="53"/>
      <c r="X47" s="53"/>
      <c r="Y47" s="53"/>
      <c r="Z47" s="53"/>
      <c r="AA47" s="53"/>
      <c r="AB47" s="136" t="str">
        <f t="shared" si="0"/>
        <v/>
      </c>
      <c r="AC47" s="53"/>
      <c r="AD47" s="124">
        <f t="shared" si="1"/>
        <v>0</v>
      </c>
      <c r="AE47" s="104">
        <f t="shared" si="2"/>
        <v>0</v>
      </c>
      <c r="AF47" s="104" t="str">
        <f t="shared" si="3"/>
        <v>N</v>
      </c>
      <c r="AG47" s="125" t="str">
        <f t="shared" si="4"/>
        <v>ok</v>
      </c>
      <c r="AH47" s="126" t="str">
        <f t="shared" si="12"/>
        <v>TOWER</v>
      </c>
      <c r="AI47" s="53">
        <v>5</v>
      </c>
      <c r="AJ47" s="53">
        <f t="shared" si="13"/>
        <v>0</v>
      </c>
      <c r="AK47" s="53"/>
      <c r="AL47" s="128">
        <f t="shared" si="5"/>
        <v>0</v>
      </c>
      <c r="AM47" s="128">
        <f t="shared" si="6"/>
        <v>0</v>
      </c>
      <c r="AN47" s="129" t="e">
        <f t="shared" si="7"/>
        <v>#VALUE!</v>
      </c>
      <c r="AO47" s="53"/>
      <c r="AP47" s="129">
        <f>(SupLL!G294+SupLL!G293)/2</f>
        <v>9.75</v>
      </c>
      <c r="AQ47" s="129">
        <f>(SupLL!H294+SupLL!H293)/2</f>
        <v>-5</v>
      </c>
      <c r="AR47" s="53"/>
      <c r="AS47" s="53"/>
    </row>
    <row r="48" spans="2:45" ht="20.25" thickBot="1">
      <c r="B48" s="210">
        <f t="shared" si="8"/>
        <v>6</v>
      </c>
      <c r="C48" s="211">
        <f t="shared" si="9"/>
        <v>7</v>
      </c>
      <c r="D48" s="115"/>
      <c r="E48" s="116"/>
      <c r="F48" s="130"/>
      <c r="J48" s="93"/>
      <c r="K48" s="118"/>
      <c r="L48" s="118"/>
      <c r="M48" s="22"/>
      <c r="O48" s="131" t="str">
        <f t="shared" si="10"/>
        <v/>
      </c>
      <c r="P48" s="132">
        <f t="shared" si="11"/>
        <v>0</v>
      </c>
      <c r="AB48" s="134" t="str">
        <f t="shared" si="0"/>
        <v/>
      </c>
      <c r="AD48" s="124">
        <f t="shared" si="1"/>
        <v>0</v>
      </c>
      <c r="AE48" s="104">
        <f t="shared" si="2"/>
        <v>0</v>
      </c>
      <c r="AF48" s="104" t="str">
        <f t="shared" si="3"/>
        <v>N</v>
      </c>
      <c r="AG48" s="125" t="str">
        <f t="shared" si="4"/>
        <v>ok</v>
      </c>
      <c r="AH48" s="126" t="str">
        <f t="shared" si="12"/>
        <v>TOWER</v>
      </c>
      <c r="AI48" s="53">
        <v>6</v>
      </c>
      <c r="AJ48" s="53">
        <f t="shared" si="13"/>
        <v>0</v>
      </c>
      <c r="AL48" s="128" t="e">
        <f t="shared" si="5"/>
        <v>#DIV/0!</v>
      </c>
      <c r="AM48" s="128" t="e">
        <f t="shared" si="6"/>
        <v>#DIV/0!</v>
      </c>
      <c r="AN48" s="129" t="e">
        <f t="shared" si="7"/>
        <v>#DIV/0!</v>
      </c>
      <c r="AP48" s="129">
        <f>(SupLL!G295+SupLL!G294)/2</f>
        <v>3.5</v>
      </c>
      <c r="AQ48" s="129">
        <f>(SupLL!H295+SupLL!H294)/2</f>
        <v>-5</v>
      </c>
    </row>
    <row r="49" spans="2:43" ht="20.25" thickBot="1">
      <c r="B49" s="210">
        <f t="shared" si="8"/>
        <v>7</v>
      </c>
      <c r="C49" s="211">
        <f t="shared" si="9"/>
        <v>0</v>
      </c>
      <c r="D49" s="115"/>
      <c r="E49" s="116"/>
      <c r="F49" s="130"/>
      <c r="J49" s="93"/>
      <c r="K49" s="118"/>
      <c r="L49" s="118"/>
      <c r="M49" s="22"/>
      <c r="O49" s="131" t="str">
        <f t="shared" si="10"/>
        <v/>
      </c>
      <c r="P49" s="132">
        <f t="shared" si="11"/>
        <v>0</v>
      </c>
      <c r="AB49" s="134" t="str">
        <f t="shared" si="0"/>
        <v/>
      </c>
      <c r="AD49" s="124">
        <f t="shared" si="1"/>
        <v>0</v>
      </c>
      <c r="AE49" s="104">
        <f t="shared" si="2"/>
        <v>0</v>
      </c>
      <c r="AF49" s="104" t="str">
        <f t="shared" si="3"/>
        <v>N</v>
      </c>
      <c r="AG49" s="125" t="str">
        <f t="shared" si="4"/>
        <v>ok</v>
      </c>
      <c r="AH49" s="126" t="str">
        <f t="shared" si="12"/>
        <v>TOWER</v>
      </c>
      <c r="AI49" s="53">
        <v>7</v>
      </c>
      <c r="AJ49" s="53">
        <f t="shared" si="13"/>
        <v>0</v>
      </c>
      <c r="AL49" s="128" t="e">
        <f t="shared" si="5"/>
        <v>#DIV/0!</v>
      </c>
      <c r="AM49" s="128" t="e">
        <f t="shared" si="6"/>
        <v>#DIV/0!</v>
      </c>
      <c r="AN49" s="129" t="e">
        <f t="shared" si="7"/>
        <v>#DIV/0!</v>
      </c>
      <c r="AP49" s="129">
        <f>(SupLL!G296+SupLL!G295)/2</f>
        <v>3.5</v>
      </c>
      <c r="AQ49" s="129">
        <f>(SupLL!H296+SupLL!H295)/2</f>
        <v>-5</v>
      </c>
    </row>
    <row r="50" spans="2:43" ht="20.25" hidden="1" thickBot="1">
      <c r="B50" s="210">
        <f t="shared" si="8"/>
        <v>0</v>
      </c>
      <c r="C50" s="211">
        <f t="shared" si="9"/>
        <v>0</v>
      </c>
      <c r="D50" s="115"/>
      <c r="E50" s="116"/>
      <c r="F50" s="130"/>
      <c r="J50" s="93"/>
      <c r="K50" s="118"/>
      <c r="L50" s="118"/>
      <c r="M50" s="22"/>
      <c r="O50" s="131" t="str">
        <f t="shared" si="10"/>
        <v/>
      </c>
      <c r="P50" s="132">
        <f t="shared" si="11"/>
        <v>0</v>
      </c>
      <c r="AB50" s="134" t="str">
        <f t="shared" si="0"/>
        <v/>
      </c>
      <c r="AD50" s="124">
        <f t="shared" si="1"/>
        <v>0</v>
      </c>
      <c r="AE50" s="104">
        <f t="shared" si="2"/>
        <v>0</v>
      </c>
      <c r="AF50" s="104" t="str">
        <f t="shared" si="3"/>
        <v>N</v>
      </c>
      <c r="AG50" s="125" t="str">
        <f t="shared" si="4"/>
        <v>ok</v>
      </c>
      <c r="AH50" s="126" t="str">
        <f t="shared" si="12"/>
        <v>TOWER</v>
      </c>
      <c r="AI50" s="53">
        <v>8</v>
      </c>
      <c r="AJ50" s="53">
        <f t="shared" si="13"/>
        <v>0</v>
      </c>
      <c r="AL50" s="128" t="e">
        <f t="shared" si="5"/>
        <v>#DIV/0!</v>
      </c>
      <c r="AM50" s="128" t="e">
        <f t="shared" si="6"/>
        <v>#DIV/0!</v>
      </c>
      <c r="AN50" s="129" t="e">
        <f t="shared" si="7"/>
        <v>#DIV/0!</v>
      </c>
      <c r="AP50" s="129">
        <f>(SupLL!G297+SupLL!G296)/2</f>
        <v>3.5</v>
      </c>
      <c r="AQ50" s="129">
        <f>(SupLL!H297+SupLL!H296)/2</f>
        <v>-5</v>
      </c>
    </row>
    <row r="51" spans="2:43" ht="20.25" hidden="1" thickBot="1">
      <c r="B51" s="210">
        <f t="shared" si="8"/>
        <v>0</v>
      </c>
      <c r="C51" s="211">
        <f t="shared" si="9"/>
        <v>0</v>
      </c>
      <c r="D51" s="115"/>
      <c r="E51" s="116"/>
      <c r="F51" s="130"/>
      <c r="J51" s="93"/>
      <c r="K51" s="118"/>
      <c r="L51" s="118"/>
      <c r="M51" s="22"/>
      <c r="O51" s="131" t="str">
        <f t="shared" si="10"/>
        <v/>
      </c>
      <c r="P51" s="132">
        <f t="shared" si="11"/>
        <v>0</v>
      </c>
      <c r="AB51" s="134" t="str">
        <f t="shared" si="0"/>
        <v/>
      </c>
      <c r="AD51" s="124">
        <f t="shared" si="1"/>
        <v>0</v>
      </c>
      <c r="AE51" s="104">
        <f t="shared" si="2"/>
        <v>0</v>
      </c>
      <c r="AF51" s="104" t="str">
        <f t="shared" si="3"/>
        <v>N</v>
      </c>
      <c r="AG51" s="125" t="str">
        <f t="shared" si="4"/>
        <v>ok</v>
      </c>
      <c r="AH51" s="126" t="str">
        <f t="shared" si="12"/>
        <v>TOWER</v>
      </c>
      <c r="AI51" s="53">
        <v>9</v>
      </c>
      <c r="AJ51" s="53">
        <f t="shared" si="13"/>
        <v>0</v>
      </c>
      <c r="AL51" s="128" t="e">
        <f t="shared" si="5"/>
        <v>#DIV/0!</v>
      </c>
      <c r="AM51" s="128" t="e">
        <f t="shared" si="6"/>
        <v>#DIV/0!</v>
      </c>
      <c r="AN51" s="129" t="e">
        <f t="shared" si="7"/>
        <v>#DIV/0!</v>
      </c>
      <c r="AP51" s="129">
        <f>(SupLL!G298+SupLL!G297)/2</f>
        <v>3.5</v>
      </c>
      <c r="AQ51" s="129">
        <f>(SupLL!H298+SupLL!H297)/2</f>
        <v>-5</v>
      </c>
    </row>
    <row r="52" spans="2:43" ht="20.25" hidden="1" thickBot="1">
      <c r="B52" s="210">
        <f t="shared" si="8"/>
        <v>0</v>
      </c>
      <c r="C52" s="211">
        <f t="shared" si="9"/>
        <v>0</v>
      </c>
      <c r="D52" s="115"/>
      <c r="E52" s="116"/>
      <c r="F52" s="130"/>
      <c r="I52" s="93"/>
      <c r="J52" s="118"/>
      <c r="K52" s="93"/>
      <c r="L52" s="118"/>
      <c r="M52" s="22"/>
      <c r="O52" s="131" t="str">
        <f t="shared" si="10"/>
        <v/>
      </c>
      <c r="P52" s="132">
        <f t="shared" si="11"/>
        <v>0</v>
      </c>
      <c r="AB52" s="134" t="str">
        <f t="shared" si="0"/>
        <v/>
      </c>
      <c r="AD52" s="124">
        <f t="shared" si="1"/>
        <v>0</v>
      </c>
      <c r="AE52" s="104">
        <f t="shared" si="2"/>
        <v>0</v>
      </c>
      <c r="AF52" s="104" t="str">
        <f t="shared" si="3"/>
        <v>N</v>
      </c>
      <c r="AG52" s="125" t="str">
        <f t="shared" si="4"/>
        <v>ok</v>
      </c>
      <c r="AH52" s="126" t="str">
        <f t="shared" si="12"/>
        <v>TOWER</v>
      </c>
      <c r="AI52" s="53">
        <v>10</v>
      </c>
      <c r="AJ52" s="53">
        <f t="shared" si="13"/>
        <v>0</v>
      </c>
      <c r="AL52" s="128" t="e">
        <f t="shared" si="5"/>
        <v>#DIV/0!</v>
      </c>
      <c r="AM52" s="128" t="e">
        <f t="shared" si="6"/>
        <v>#DIV/0!</v>
      </c>
      <c r="AN52" s="129" t="e">
        <f t="shared" si="7"/>
        <v>#DIV/0!</v>
      </c>
      <c r="AP52" s="129">
        <f>(SupLL!G299+SupLL!G298)/2</f>
        <v>3.5</v>
      </c>
      <c r="AQ52" s="129">
        <f>(SupLL!H299+SupLL!H298)/2</f>
        <v>-5</v>
      </c>
    </row>
    <row r="53" spans="2:43" ht="20.25" hidden="1" thickBot="1">
      <c r="B53" s="210">
        <f t="shared" si="8"/>
        <v>0</v>
      </c>
      <c r="C53" s="211">
        <f t="shared" si="9"/>
        <v>0</v>
      </c>
      <c r="D53" s="115"/>
      <c r="E53" s="116"/>
      <c r="F53" s="130"/>
      <c r="I53" s="93"/>
      <c r="J53" s="137"/>
      <c r="K53" s="93"/>
      <c r="L53" s="137"/>
      <c r="O53" s="131" t="str">
        <f t="shared" si="10"/>
        <v/>
      </c>
      <c r="P53" s="132">
        <f t="shared" si="11"/>
        <v>0</v>
      </c>
      <c r="AB53" s="134" t="str">
        <f>IF(F347=0,"",F347)</f>
        <v/>
      </c>
      <c r="AD53" s="124">
        <f t="shared" si="1"/>
        <v>0</v>
      </c>
      <c r="AE53" s="104">
        <f t="shared" si="2"/>
        <v>0</v>
      </c>
      <c r="AF53" s="104" t="str">
        <f t="shared" si="3"/>
        <v>N</v>
      </c>
      <c r="AG53" s="125" t="str">
        <f t="shared" si="4"/>
        <v>ok</v>
      </c>
      <c r="AH53" s="126" t="str">
        <f t="shared" si="12"/>
        <v>TOWER</v>
      </c>
      <c r="AI53" s="53">
        <v>11</v>
      </c>
      <c r="AJ53" s="53">
        <f t="shared" si="13"/>
        <v>0</v>
      </c>
      <c r="AL53" s="128" t="e">
        <f t="shared" si="5"/>
        <v>#DIV/0!</v>
      </c>
      <c r="AM53" s="128" t="e">
        <f t="shared" si="6"/>
        <v>#DIV/0!</v>
      </c>
      <c r="AN53" s="129" t="e">
        <f t="shared" si="7"/>
        <v>#DIV/0!</v>
      </c>
      <c r="AP53" s="129">
        <f>(SupLL!G300+SupLL!G299)/2</f>
        <v>3.5</v>
      </c>
      <c r="AQ53" s="129">
        <f>(SupLL!H300+SupLL!H299)/2</f>
        <v>-5</v>
      </c>
    </row>
    <row r="54" spans="2:43" ht="20.25" hidden="1" thickBot="1">
      <c r="B54" s="210">
        <f t="shared" si="8"/>
        <v>0</v>
      </c>
      <c r="C54" s="211">
        <f t="shared" si="9"/>
        <v>0</v>
      </c>
      <c r="D54" s="115"/>
      <c r="E54" s="116"/>
      <c r="F54" s="138"/>
      <c r="I54" s="93"/>
      <c r="J54" s="137"/>
      <c r="K54" s="93"/>
      <c r="L54" s="137"/>
      <c r="O54" s="131" t="str">
        <f t="shared" si="10"/>
        <v/>
      </c>
      <c r="P54" s="132">
        <f t="shared" si="11"/>
        <v>0</v>
      </c>
      <c r="AB54" s="134" t="str">
        <f>IF(F348=0,"",F348)</f>
        <v>MIN</v>
      </c>
      <c r="AD54" s="124">
        <f t="shared" si="1"/>
        <v>0</v>
      </c>
      <c r="AE54" s="104">
        <f t="shared" si="2"/>
        <v>0</v>
      </c>
      <c r="AF54" s="104" t="str">
        <f t="shared" si="3"/>
        <v>N</v>
      </c>
      <c r="AG54" s="125" t="str">
        <f t="shared" si="4"/>
        <v>ok</v>
      </c>
      <c r="AH54" s="126" t="str">
        <f t="shared" si="12"/>
        <v>TOWER</v>
      </c>
      <c r="AI54" s="53">
        <v>12</v>
      </c>
      <c r="AJ54" s="53">
        <f t="shared" si="13"/>
        <v>0</v>
      </c>
      <c r="AL54" s="128" t="e">
        <f t="shared" si="5"/>
        <v>#DIV/0!</v>
      </c>
      <c r="AM54" s="128" t="e">
        <f t="shared" si="6"/>
        <v>#DIV/0!</v>
      </c>
      <c r="AN54" s="129" t="e">
        <f t="shared" si="7"/>
        <v>#DIV/0!</v>
      </c>
      <c r="AP54" s="129">
        <f>(SupLL!G301+SupLL!G300)/2</f>
        <v>3.5</v>
      </c>
      <c r="AQ54" s="129">
        <f>(SupLL!H301+SupLL!H300)/2</f>
        <v>-5</v>
      </c>
    </row>
    <row r="55" spans="2:43" ht="19.5" hidden="1">
      <c r="B55" s="210">
        <f t="shared" si="8"/>
        <v>0</v>
      </c>
      <c r="C55" s="211">
        <f t="shared" si="9"/>
        <v>0</v>
      </c>
      <c r="D55" s="115"/>
      <c r="E55" s="116"/>
      <c r="F55" s="135"/>
      <c r="I55" s="93"/>
      <c r="J55" s="137"/>
      <c r="K55" s="93"/>
      <c r="L55" s="137"/>
      <c r="O55" s="131" t="str">
        <f t="shared" si="10"/>
        <v/>
      </c>
      <c r="P55" s="132">
        <f t="shared" si="11"/>
        <v>0</v>
      </c>
      <c r="AB55" s="134" t="str">
        <f>IF(F349=0,"",F349)</f>
        <v>MAX</v>
      </c>
      <c r="AD55" s="124">
        <f t="shared" si="1"/>
        <v>0</v>
      </c>
      <c r="AE55" s="104">
        <f t="shared" si="2"/>
        <v>0</v>
      </c>
      <c r="AF55" s="104" t="str">
        <f t="shared" si="3"/>
        <v>N</v>
      </c>
      <c r="AG55" s="125" t="str">
        <f t="shared" si="4"/>
        <v>ok</v>
      </c>
      <c r="AH55" s="126" t="str">
        <f t="shared" si="12"/>
        <v>TOWER</v>
      </c>
      <c r="AI55" s="53">
        <v>13</v>
      </c>
      <c r="AJ55" s="53">
        <f t="shared" si="13"/>
        <v>0</v>
      </c>
      <c r="AL55" s="128" t="e">
        <f t="shared" si="5"/>
        <v>#DIV/0!</v>
      </c>
      <c r="AM55" s="128" t="e">
        <f t="shared" si="6"/>
        <v>#DIV/0!</v>
      </c>
      <c r="AN55" s="129" t="e">
        <f t="shared" si="7"/>
        <v>#DIV/0!</v>
      </c>
      <c r="AP55" s="129">
        <f>(SupLL!G302+SupLL!G301)/2</f>
        <v>3.5</v>
      </c>
      <c r="AQ55" s="129">
        <f>(SupLL!H302+SupLL!H301)/2</f>
        <v>-5</v>
      </c>
    </row>
    <row r="56" spans="2:43" ht="20.25" hidden="1" thickBot="1">
      <c r="B56" s="210">
        <f t="shared" si="8"/>
        <v>0</v>
      </c>
      <c r="C56" s="211">
        <f t="shared" si="9"/>
        <v>0</v>
      </c>
      <c r="D56" s="115"/>
      <c r="E56" s="116"/>
      <c r="F56" s="130"/>
      <c r="I56" s="93"/>
      <c r="J56" s="137"/>
      <c r="K56" s="93"/>
      <c r="L56" s="139"/>
      <c r="O56" s="131" t="str">
        <f t="shared" si="10"/>
        <v/>
      </c>
      <c r="P56" s="132">
        <f t="shared" si="11"/>
        <v>0</v>
      </c>
      <c r="AB56" s="134" t="str">
        <f>IF(F350=0,"",F350)</f>
        <v/>
      </c>
      <c r="AD56" s="124">
        <f t="shared" si="1"/>
        <v>0</v>
      </c>
      <c r="AE56" s="104">
        <f t="shared" si="2"/>
        <v>0</v>
      </c>
      <c r="AF56" s="104" t="str">
        <f t="shared" si="3"/>
        <v>N</v>
      </c>
      <c r="AG56" s="125" t="str">
        <f t="shared" si="4"/>
        <v>ok</v>
      </c>
      <c r="AH56" s="126" t="str">
        <f t="shared" si="12"/>
        <v>TOWER</v>
      </c>
      <c r="AI56" s="53">
        <v>14</v>
      </c>
      <c r="AJ56" s="53">
        <f t="shared" si="13"/>
        <v>0</v>
      </c>
      <c r="AL56" s="128" t="e">
        <f t="shared" si="5"/>
        <v>#DIV/0!</v>
      </c>
      <c r="AM56" s="128" t="e">
        <f t="shared" si="6"/>
        <v>#DIV/0!</v>
      </c>
      <c r="AN56" s="129" t="e">
        <f t="shared" si="7"/>
        <v>#DIV/0!</v>
      </c>
      <c r="AP56" s="129">
        <f>(SupLL!G303+SupLL!G302)/2</f>
        <v>3.5</v>
      </c>
      <c r="AQ56" s="129">
        <f>(SupLL!H303+SupLL!H302)/2</f>
        <v>-5</v>
      </c>
    </row>
    <row r="57" spans="2:43" ht="20.25" hidden="1" thickBot="1">
      <c r="B57" s="210">
        <f t="shared" si="8"/>
        <v>0</v>
      </c>
      <c r="C57" s="211">
        <f t="shared" si="9"/>
        <v>0</v>
      </c>
      <c r="D57" s="115"/>
      <c r="E57" s="116"/>
      <c r="F57" s="130"/>
      <c r="I57" s="93"/>
      <c r="J57" s="137"/>
      <c r="K57" s="93"/>
      <c r="L57" s="139"/>
      <c r="O57" s="131" t="str">
        <f t="shared" si="10"/>
        <v/>
      </c>
      <c r="P57" s="132">
        <f t="shared" si="11"/>
        <v>0</v>
      </c>
      <c r="AB57" s="134" t="str">
        <f>IF(F351=0,"",F351)</f>
        <v/>
      </c>
      <c r="AD57" s="124">
        <f t="shared" si="1"/>
        <v>0</v>
      </c>
      <c r="AE57" s="104">
        <f t="shared" si="2"/>
        <v>0</v>
      </c>
      <c r="AF57" s="104" t="str">
        <f t="shared" si="3"/>
        <v>N</v>
      </c>
      <c r="AG57" s="125" t="str">
        <f t="shared" si="4"/>
        <v>ok</v>
      </c>
      <c r="AH57" s="126" t="str">
        <f t="shared" si="12"/>
        <v>TOWER</v>
      </c>
      <c r="AI57" s="53">
        <v>15</v>
      </c>
      <c r="AJ57" s="53">
        <f t="shared" si="13"/>
        <v>0</v>
      </c>
      <c r="AL57" s="128" t="e">
        <f t="shared" si="5"/>
        <v>#DIV/0!</v>
      </c>
      <c r="AM57" s="128" t="e">
        <f t="shared" si="6"/>
        <v>#DIV/0!</v>
      </c>
      <c r="AN57" s="129" t="e">
        <f t="shared" si="7"/>
        <v>#DIV/0!</v>
      </c>
      <c r="AP57" s="129">
        <f>(SupLL!G304+SupLL!G303)/2</f>
        <v>3.5</v>
      </c>
      <c r="AQ57" s="129">
        <f>(SupLL!H304+SupLL!H303)/2</f>
        <v>-5</v>
      </c>
    </row>
    <row r="58" spans="2:43" ht="20.25" hidden="1" thickBot="1">
      <c r="B58" s="210">
        <f t="shared" si="8"/>
        <v>0</v>
      </c>
      <c r="C58" s="211">
        <f t="shared" si="9"/>
        <v>0</v>
      </c>
      <c r="D58" s="115"/>
      <c r="E58" s="116"/>
      <c r="F58" s="138"/>
      <c r="I58" s="93"/>
      <c r="J58" s="137"/>
      <c r="K58" s="93"/>
      <c r="L58" s="139"/>
      <c r="O58" s="131" t="str">
        <f t="shared" si="10"/>
        <v/>
      </c>
      <c r="P58" s="132">
        <f t="shared" si="11"/>
        <v>0</v>
      </c>
      <c r="AB58" s="134"/>
      <c r="AD58" s="124">
        <f t="shared" si="1"/>
        <v>0</v>
      </c>
      <c r="AE58" s="104">
        <f t="shared" si="2"/>
        <v>0</v>
      </c>
      <c r="AF58" s="104" t="str">
        <f t="shared" si="3"/>
        <v>N</v>
      </c>
      <c r="AG58" s="125" t="str">
        <f t="shared" si="4"/>
        <v>ok</v>
      </c>
      <c r="AH58" s="126" t="str">
        <f t="shared" si="12"/>
        <v>TOWER</v>
      </c>
      <c r="AI58" s="53">
        <v>16</v>
      </c>
      <c r="AJ58" s="53">
        <f t="shared" si="13"/>
        <v>0</v>
      </c>
      <c r="AL58" s="128" t="e">
        <f t="shared" si="5"/>
        <v>#DIV/0!</v>
      </c>
      <c r="AM58" s="128" t="e">
        <f t="shared" si="6"/>
        <v>#DIV/0!</v>
      </c>
      <c r="AN58" s="129" t="e">
        <f t="shared" si="7"/>
        <v>#DIV/0!</v>
      </c>
      <c r="AP58" s="129">
        <f>(SupLL!G305+SupLL!G304)/2</f>
        <v>3.5</v>
      </c>
      <c r="AQ58" s="129">
        <f>(SupLL!H305+SupLL!H304)/2</f>
        <v>-5</v>
      </c>
    </row>
    <row r="59" spans="2:43" ht="20.25" hidden="1" thickBot="1">
      <c r="B59" s="210">
        <f t="shared" si="8"/>
        <v>0</v>
      </c>
      <c r="C59" s="211">
        <f t="shared" si="9"/>
        <v>0</v>
      </c>
      <c r="D59" s="115"/>
      <c r="E59" s="116"/>
      <c r="F59" s="138"/>
      <c r="I59" s="93"/>
      <c r="J59" s="137"/>
      <c r="K59" s="93"/>
      <c r="L59" s="139"/>
      <c r="O59" s="131" t="str">
        <f t="shared" si="10"/>
        <v/>
      </c>
      <c r="P59" s="132">
        <f t="shared" si="11"/>
        <v>0</v>
      </c>
      <c r="AB59" s="134"/>
      <c r="AD59" s="124">
        <f t="shared" si="1"/>
        <v>0</v>
      </c>
      <c r="AE59" s="104">
        <f t="shared" si="2"/>
        <v>0</v>
      </c>
      <c r="AF59" s="104" t="str">
        <f t="shared" si="3"/>
        <v>N</v>
      </c>
      <c r="AG59" s="125" t="str">
        <f t="shared" si="4"/>
        <v>ok</v>
      </c>
      <c r="AH59" s="126" t="str">
        <f t="shared" si="12"/>
        <v>TOWER</v>
      </c>
      <c r="AI59" s="53">
        <v>17</v>
      </c>
      <c r="AJ59" s="53">
        <f t="shared" si="13"/>
        <v>0</v>
      </c>
      <c r="AL59" s="128" t="e">
        <f t="shared" si="5"/>
        <v>#DIV/0!</v>
      </c>
      <c r="AM59" s="128" t="e">
        <f t="shared" si="6"/>
        <v>#DIV/0!</v>
      </c>
      <c r="AN59" s="129" t="e">
        <f t="shared" si="7"/>
        <v>#DIV/0!</v>
      </c>
      <c r="AP59" s="129">
        <f>(SupLL!G306+SupLL!G305)/2</f>
        <v>3.5</v>
      </c>
      <c r="AQ59" s="129">
        <f>(SupLL!H306+SupLL!H305)/2</f>
        <v>-5</v>
      </c>
    </row>
    <row r="60" spans="2:43" ht="20.25" hidden="1" thickBot="1">
      <c r="B60" s="210">
        <f t="shared" si="8"/>
        <v>0</v>
      </c>
      <c r="C60" s="211">
        <f t="shared" si="9"/>
        <v>0</v>
      </c>
      <c r="D60" s="115"/>
      <c r="E60" s="116"/>
      <c r="F60" s="130"/>
      <c r="I60" s="93"/>
      <c r="J60" s="137"/>
      <c r="K60" s="93"/>
      <c r="L60" s="139"/>
      <c r="O60" s="131" t="str">
        <f t="shared" si="10"/>
        <v/>
      </c>
      <c r="P60" s="132">
        <f t="shared" si="11"/>
        <v>0</v>
      </c>
      <c r="AB60" s="134"/>
      <c r="AD60" s="124">
        <f t="shared" si="1"/>
        <v>0</v>
      </c>
      <c r="AE60" s="104">
        <f t="shared" si="2"/>
        <v>0</v>
      </c>
      <c r="AF60" s="104" t="str">
        <f t="shared" si="3"/>
        <v>N</v>
      </c>
      <c r="AG60" s="125" t="str">
        <f t="shared" si="4"/>
        <v>ok</v>
      </c>
      <c r="AH60" s="126" t="str">
        <f t="shared" si="12"/>
        <v>TOWER</v>
      </c>
      <c r="AI60" s="53">
        <v>18</v>
      </c>
      <c r="AJ60" s="53">
        <f t="shared" si="13"/>
        <v>0</v>
      </c>
      <c r="AL60" s="128" t="e">
        <f t="shared" si="5"/>
        <v>#DIV/0!</v>
      </c>
      <c r="AM60" s="128" t="e">
        <f t="shared" si="6"/>
        <v>#DIV/0!</v>
      </c>
      <c r="AN60" s="129" t="e">
        <f t="shared" si="7"/>
        <v>#DIV/0!</v>
      </c>
      <c r="AP60" s="129">
        <f>(SupLL!G307+SupLL!G306)/2</f>
        <v>3.5</v>
      </c>
      <c r="AQ60" s="129">
        <f>(SupLL!H307+SupLL!H306)/2</f>
        <v>-5</v>
      </c>
    </row>
    <row r="61" spans="2:43" ht="19.5" hidden="1">
      <c r="B61" s="210">
        <f t="shared" si="8"/>
        <v>0</v>
      </c>
      <c r="C61" s="211">
        <f t="shared" si="9"/>
        <v>0</v>
      </c>
      <c r="D61" s="115"/>
      <c r="E61" s="116"/>
      <c r="F61" s="135"/>
      <c r="I61" s="93"/>
      <c r="J61" s="137"/>
      <c r="K61" s="93"/>
      <c r="L61" s="139"/>
      <c r="O61" s="131" t="str">
        <f t="shared" si="10"/>
        <v/>
      </c>
      <c r="P61" s="132">
        <f t="shared" si="11"/>
        <v>0</v>
      </c>
      <c r="AB61" s="134"/>
      <c r="AD61" s="124">
        <f t="shared" si="1"/>
        <v>0</v>
      </c>
      <c r="AE61" s="104">
        <f t="shared" si="2"/>
        <v>0</v>
      </c>
      <c r="AF61" s="104" t="str">
        <f t="shared" si="3"/>
        <v>N</v>
      </c>
      <c r="AG61" s="125" t="str">
        <f t="shared" si="4"/>
        <v>ok</v>
      </c>
      <c r="AH61" s="126" t="str">
        <f t="shared" si="12"/>
        <v>TOWER</v>
      </c>
      <c r="AI61" s="53">
        <v>19</v>
      </c>
      <c r="AJ61" s="53">
        <f t="shared" si="13"/>
        <v>0</v>
      </c>
      <c r="AL61" s="128" t="e">
        <f t="shared" si="5"/>
        <v>#DIV/0!</v>
      </c>
      <c r="AM61" s="128" t="e">
        <f t="shared" si="6"/>
        <v>#DIV/0!</v>
      </c>
      <c r="AN61" s="129" t="e">
        <f t="shared" si="7"/>
        <v>#DIV/0!</v>
      </c>
      <c r="AP61" s="129">
        <f>(SupLL!G308+SupLL!G307)/2</f>
        <v>3.5</v>
      </c>
      <c r="AQ61" s="129">
        <f>(SupLL!H308+SupLL!H307)/2</f>
        <v>-5</v>
      </c>
    </row>
    <row r="62" spans="2:43" ht="20.25" hidden="1" thickBot="1">
      <c r="B62" s="210">
        <f t="shared" si="8"/>
        <v>0</v>
      </c>
      <c r="C62" s="211">
        <f t="shared" si="9"/>
        <v>0</v>
      </c>
      <c r="D62" s="115"/>
      <c r="E62" s="116"/>
      <c r="F62" s="130"/>
      <c r="I62" s="93"/>
      <c r="J62" s="137"/>
      <c r="K62" s="93"/>
      <c r="L62" s="139"/>
      <c r="O62" s="131" t="str">
        <f t="shared" si="10"/>
        <v/>
      </c>
      <c r="P62" s="132">
        <f t="shared" si="11"/>
        <v>0</v>
      </c>
      <c r="AB62" s="134"/>
      <c r="AD62" s="124">
        <f t="shared" si="1"/>
        <v>0</v>
      </c>
      <c r="AE62" s="104">
        <f t="shared" si="2"/>
        <v>0</v>
      </c>
      <c r="AF62" s="104" t="str">
        <f t="shared" si="3"/>
        <v>N</v>
      </c>
      <c r="AG62" s="125" t="str">
        <f t="shared" si="4"/>
        <v>ok</v>
      </c>
      <c r="AH62" s="127" t="str">
        <f t="shared" ref="AH62:AH96" si="14">AH61</f>
        <v>TOWER</v>
      </c>
      <c r="AI62" s="53">
        <v>20</v>
      </c>
      <c r="AJ62" s="53">
        <f t="shared" si="13"/>
        <v>0</v>
      </c>
      <c r="AL62" s="128" t="e">
        <f t="shared" si="5"/>
        <v>#DIV/0!</v>
      </c>
      <c r="AM62" s="128" t="e">
        <f t="shared" si="6"/>
        <v>#DIV/0!</v>
      </c>
      <c r="AN62" s="129" t="e">
        <f t="shared" si="7"/>
        <v>#DIV/0!</v>
      </c>
      <c r="AP62" s="129">
        <f>(SupLL!G309+SupLL!G308)/2</f>
        <v>3.5</v>
      </c>
      <c r="AQ62" s="129">
        <f>(SupLL!H309+SupLL!H308)/2</f>
        <v>-5</v>
      </c>
    </row>
    <row r="63" spans="2:43" ht="19.5" hidden="1">
      <c r="B63" s="210">
        <f t="shared" si="8"/>
        <v>0</v>
      </c>
      <c r="C63" s="211">
        <f t="shared" si="9"/>
        <v>0</v>
      </c>
      <c r="D63" s="115"/>
      <c r="E63" s="116"/>
      <c r="F63" s="135"/>
      <c r="I63" s="93"/>
      <c r="J63" s="137"/>
      <c r="K63" s="93"/>
      <c r="L63" s="139"/>
      <c r="O63" s="131" t="str">
        <f t="shared" si="10"/>
        <v/>
      </c>
      <c r="P63" s="132">
        <f t="shared" si="11"/>
        <v>0</v>
      </c>
      <c r="AB63" s="134"/>
      <c r="AD63" s="124">
        <f t="shared" si="1"/>
        <v>0</v>
      </c>
      <c r="AE63" s="104">
        <f t="shared" si="2"/>
        <v>0</v>
      </c>
      <c r="AF63" s="104" t="str">
        <f t="shared" si="3"/>
        <v>N</v>
      </c>
      <c r="AG63" s="125" t="str">
        <f t="shared" si="4"/>
        <v>ok</v>
      </c>
      <c r="AH63" s="127" t="str">
        <f t="shared" si="14"/>
        <v>TOWER</v>
      </c>
      <c r="AI63" s="53">
        <v>21</v>
      </c>
      <c r="AJ63" s="53">
        <f t="shared" si="13"/>
        <v>0</v>
      </c>
      <c r="AL63" s="128" t="e">
        <f t="shared" si="5"/>
        <v>#DIV/0!</v>
      </c>
      <c r="AM63" s="128" t="e">
        <f t="shared" si="6"/>
        <v>#DIV/0!</v>
      </c>
      <c r="AN63" s="129" t="e">
        <f t="shared" si="7"/>
        <v>#DIV/0!</v>
      </c>
      <c r="AP63" s="129">
        <f>(SupLL!G310+SupLL!G309)/2</f>
        <v>3.5</v>
      </c>
      <c r="AQ63" s="129">
        <f>(SupLL!H310+SupLL!H309)/2</f>
        <v>-5</v>
      </c>
    </row>
    <row r="64" spans="2:43" ht="20.25" hidden="1" thickBot="1">
      <c r="B64" s="210">
        <f t="shared" si="8"/>
        <v>0</v>
      </c>
      <c r="C64" s="211">
        <f t="shared" si="9"/>
        <v>0</v>
      </c>
      <c r="D64" s="115"/>
      <c r="E64" s="116"/>
      <c r="F64" s="130"/>
      <c r="I64" s="93"/>
      <c r="J64" s="137"/>
      <c r="K64" s="93"/>
      <c r="L64" s="139"/>
      <c r="O64" s="131" t="str">
        <f t="shared" si="10"/>
        <v/>
      </c>
      <c r="P64" s="132">
        <f t="shared" si="11"/>
        <v>0</v>
      </c>
      <c r="AB64" s="134"/>
      <c r="AD64" s="124">
        <f t="shared" si="1"/>
        <v>0</v>
      </c>
      <c r="AE64" s="104">
        <f t="shared" si="2"/>
        <v>0</v>
      </c>
      <c r="AF64" s="104" t="str">
        <f t="shared" si="3"/>
        <v>N</v>
      </c>
      <c r="AG64" s="125" t="str">
        <f t="shared" si="4"/>
        <v>ok</v>
      </c>
      <c r="AH64" s="127" t="str">
        <f t="shared" si="14"/>
        <v>TOWER</v>
      </c>
      <c r="AI64" s="53">
        <v>22</v>
      </c>
      <c r="AJ64" s="53">
        <f t="shared" si="13"/>
        <v>0</v>
      </c>
      <c r="AL64" s="128" t="e">
        <f t="shared" si="5"/>
        <v>#DIV/0!</v>
      </c>
      <c r="AM64" s="128" t="e">
        <f t="shared" si="6"/>
        <v>#DIV/0!</v>
      </c>
      <c r="AN64" s="129" t="e">
        <f t="shared" si="7"/>
        <v>#DIV/0!</v>
      </c>
      <c r="AP64" s="129">
        <f>(SupLL!G311+SupLL!G310)/2</f>
        <v>3.5</v>
      </c>
      <c r="AQ64" s="129">
        <f>(SupLL!H311+SupLL!H310)/2</f>
        <v>-5</v>
      </c>
    </row>
    <row r="65" spans="2:43" ht="19.5" hidden="1">
      <c r="B65" s="210">
        <f t="shared" si="8"/>
        <v>0</v>
      </c>
      <c r="C65" s="211">
        <f t="shared" si="9"/>
        <v>0</v>
      </c>
      <c r="D65" s="115"/>
      <c r="E65" s="116"/>
      <c r="F65" s="135"/>
      <c r="I65" s="93"/>
      <c r="J65" s="137"/>
      <c r="K65" s="93"/>
      <c r="L65" s="139"/>
      <c r="O65" s="131" t="str">
        <f t="shared" si="10"/>
        <v/>
      </c>
      <c r="P65" s="132">
        <f t="shared" si="11"/>
        <v>0</v>
      </c>
      <c r="AB65" s="134"/>
      <c r="AD65" s="124">
        <f t="shared" si="1"/>
        <v>0</v>
      </c>
      <c r="AE65" s="104">
        <f t="shared" si="2"/>
        <v>0</v>
      </c>
      <c r="AF65" s="104" t="str">
        <f t="shared" si="3"/>
        <v>N</v>
      </c>
      <c r="AG65" s="125" t="str">
        <f t="shared" si="4"/>
        <v>ok</v>
      </c>
      <c r="AH65" s="127" t="str">
        <f t="shared" si="14"/>
        <v>TOWER</v>
      </c>
      <c r="AI65" s="53">
        <v>23</v>
      </c>
      <c r="AJ65" s="53">
        <f t="shared" si="13"/>
        <v>0</v>
      </c>
      <c r="AL65" s="128" t="e">
        <f t="shared" si="5"/>
        <v>#DIV/0!</v>
      </c>
      <c r="AM65" s="128" t="e">
        <f t="shared" si="6"/>
        <v>#DIV/0!</v>
      </c>
      <c r="AN65" s="129" t="e">
        <f t="shared" si="7"/>
        <v>#DIV/0!</v>
      </c>
      <c r="AP65" s="129">
        <f>(SupLL!G312+SupLL!G311)/2</f>
        <v>3.5</v>
      </c>
      <c r="AQ65" s="129">
        <f>(SupLL!H312+SupLL!H311)/2</f>
        <v>-5</v>
      </c>
    </row>
    <row r="66" spans="2:43" ht="20.25" hidden="1" thickBot="1">
      <c r="B66" s="210">
        <f t="shared" si="8"/>
        <v>0</v>
      </c>
      <c r="C66" s="211">
        <f t="shared" si="9"/>
        <v>0</v>
      </c>
      <c r="D66" s="115"/>
      <c r="E66" s="116"/>
      <c r="F66" s="130"/>
      <c r="I66" s="93"/>
      <c r="J66" s="137"/>
      <c r="K66" s="93"/>
      <c r="L66" s="139"/>
      <c r="O66" s="131" t="str">
        <f t="shared" si="10"/>
        <v/>
      </c>
      <c r="P66" s="132">
        <f t="shared" si="11"/>
        <v>0</v>
      </c>
      <c r="AB66" s="134"/>
      <c r="AD66" s="124">
        <f t="shared" si="1"/>
        <v>0</v>
      </c>
      <c r="AE66" s="104">
        <f t="shared" si="2"/>
        <v>0</v>
      </c>
      <c r="AF66" s="104" t="str">
        <f t="shared" si="3"/>
        <v>N</v>
      </c>
      <c r="AG66" s="125" t="str">
        <f t="shared" si="4"/>
        <v>ok</v>
      </c>
      <c r="AH66" s="127" t="str">
        <f t="shared" si="14"/>
        <v>TOWER</v>
      </c>
      <c r="AI66" s="53">
        <v>24</v>
      </c>
      <c r="AJ66" s="53">
        <f t="shared" si="13"/>
        <v>0</v>
      </c>
      <c r="AL66" s="128" t="e">
        <f t="shared" si="5"/>
        <v>#DIV/0!</v>
      </c>
      <c r="AM66" s="128" t="e">
        <f t="shared" si="6"/>
        <v>#DIV/0!</v>
      </c>
      <c r="AN66" s="129" t="e">
        <f t="shared" si="7"/>
        <v>#DIV/0!</v>
      </c>
      <c r="AP66" s="129">
        <f>(SupLL!G313+SupLL!G312)/2</f>
        <v>3.5</v>
      </c>
      <c r="AQ66" s="129">
        <f>(SupLL!H313+SupLL!H312)/2</f>
        <v>-5</v>
      </c>
    </row>
    <row r="67" spans="2:43" ht="20.25" hidden="1" thickBot="1">
      <c r="B67" s="210">
        <f t="shared" si="8"/>
        <v>0</v>
      </c>
      <c r="C67" s="211">
        <f t="shared" si="9"/>
        <v>0</v>
      </c>
      <c r="D67" s="115"/>
      <c r="E67" s="116"/>
      <c r="F67" s="130"/>
      <c r="I67" s="93"/>
      <c r="J67" s="137"/>
      <c r="K67" s="93"/>
      <c r="L67" s="139"/>
      <c r="O67" s="131" t="str">
        <f t="shared" si="10"/>
        <v/>
      </c>
      <c r="P67" s="132">
        <f t="shared" si="11"/>
        <v>0</v>
      </c>
      <c r="AB67" s="134"/>
      <c r="AD67" s="124">
        <f t="shared" si="1"/>
        <v>0</v>
      </c>
      <c r="AE67" s="104">
        <f t="shared" si="2"/>
        <v>0</v>
      </c>
      <c r="AF67" s="104" t="str">
        <f t="shared" si="3"/>
        <v>N</v>
      </c>
      <c r="AG67" s="125" t="str">
        <f t="shared" si="4"/>
        <v>ok</v>
      </c>
      <c r="AH67" s="127" t="str">
        <f t="shared" si="14"/>
        <v>TOWER</v>
      </c>
      <c r="AI67" s="53">
        <v>25</v>
      </c>
      <c r="AJ67" s="53">
        <f t="shared" si="13"/>
        <v>0</v>
      </c>
      <c r="AL67" s="128" t="e">
        <f t="shared" si="5"/>
        <v>#DIV/0!</v>
      </c>
      <c r="AM67" s="128" t="e">
        <f t="shared" si="6"/>
        <v>#DIV/0!</v>
      </c>
      <c r="AN67" s="129" t="e">
        <f t="shared" si="7"/>
        <v>#DIV/0!</v>
      </c>
      <c r="AP67" s="129">
        <f>(SupLL!G314+SupLL!G313)/2</f>
        <v>3.5</v>
      </c>
      <c r="AQ67" s="129">
        <f>(SupLL!H314+SupLL!H313)/2</f>
        <v>-5</v>
      </c>
    </row>
    <row r="68" spans="2:43" ht="19.5" hidden="1">
      <c r="B68" s="210">
        <f t="shared" si="8"/>
        <v>0</v>
      </c>
      <c r="C68" s="211">
        <f t="shared" si="9"/>
        <v>0</v>
      </c>
      <c r="D68" s="115"/>
      <c r="E68" s="116"/>
      <c r="F68" s="135"/>
      <c r="I68" s="93"/>
      <c r="J68" s="137"/>
      <c r="K68" s="93"/>
      <c r="L68" s="139"/>
      <c r="O68" s="131" t="str">
        <f t="shared" si="10"/>
        <v/>
      </c>
      <c r="P68" s="132">
        <f t="shared" si="11"/>
        <v>0</v>
      </c>
      <c r="AB68" s="134"/>
      <c r="AD68" s="124">
        <f t="shared" si="1"/>
        <v>0</v>
      </c>
      <c r="AE68" s="104">
        <f t="shared" si="2"/>
        <v>0</v>
      </c>
      <c r="AF68" s="104" t="str">
        <f t="shared" si="3"/>
        <v>N</v>
      </c>
      <c r="AG68" s="125" t="str">
        <f t="shared" si="4"/>
        <v>ok</v>
      </c>
      <c r="AH68" s="127" t="str">
        <f t="shared" si="14"/>
        <v>TOWER</v>
      </c>
      <c r="AI68" s="53">
        <v>26</v>
      </c>
      <c r="AJ68" s="53">
        <f t="shared" si="13"/>
        <v>0</v>
      </c>
      <c r="AL68" s="128" t="e">
        <f t="shared" si="5"/>
        <v>#DIV/0!</v>
      </c>
      <c r="AM68" s="128" t="e">
        <f t="shared" si="6"/>
        <v>#DIV/0!</v>
      </c>
      <c r="AN68" s="129" t="e">
        <f t="shared" si="7"/>
        <v>#DIV/0!</v>
      </c>
      <c r="AP68" s="129">
        <f>(SupLL!G315+SupLL!G314)/2</f>
        <v>3.5</v>
      </c>
      <c r="AQ68" s="129">
        <f>(SupLL!H315+SupLL!H314)/2</f>
        <v>-5</v>
      </c>
    </row>
    <row r="69" spans="2:43" ht="20.25" hidden="1" thickBot="1">
      <c r="B69" s="210">
        <f t="shared" si="8"/>
        <v>0</v>
      </c>
      <c r="C69" s="211">
        <f t="shared" si="9"/>
        <v>0</v>
      </c>
      <c r="D69" s="115"/>
      <c r="E69" s="116"/>
      <c r="F69" s="130"/>
      <c r="I69" s="93"/>
      <c r="J69" s="137"/>
      <c r="K69" s="93"/>
      <c r="L69" s="139"/>
      <c r="O69" s="131" t="str">
        <f t="shared" si="10"/>
        <v/>
      </c>
      <c r="P69" s="132">
        <f t="shared" si="11"/>
        <v>0</v>
      </c>
      <c r="AB69" s="134"/>
      <c r="AD69" s="124">
        <f t="shared" si="1"/>
        <v>0</v>
      </c>
      <c r="AE69" s="104">
        <f t="shared" si="2"/>
        <v>0</v>
      </c>
      <c r="AF69" s="104" t="str">
        <f t="shared" si="3"/>
        <v>N</v>
      </c>
      <c r="AG69" s="125" t="str">
        <f t="shared" si="4"/>
        <v>ok</v>
      </c>
      <c r="AH69" s="127" t="str">
        <f t="shared" si="14"/>
        <v>TOWER</v>
      </c>
      <c r="AI69" s="53">
        <v>27</v>
      </c>
      <c r="AJ69" s="53">
        <f t="shared" si="13"/>
        <v>0</v>
      </c>
      <c r="AL69" s="128" t="e">
        <f t="shared" si="5"/>
        <v>#DIV/0!</v>
      </c>
      <c r="AM69" s="128" t="e">
        <f t="shared" si="6"/>
        <v>#DIV/0!</v>
      </c>
      <c r="AN69" s="129" t="e">
        <f t="shared" si="7"/>
        <v>#DIV/0!</v>
      </c>
      <c r="AP69" s="129">
        <f>(SupLL!G316+SupLL!G315)/2</f>
        <v>3.5</v>
      </c>
      <c r="AQ69" s="129">
        <f>(SupLL!H316+SupLL!H315)/2</f>
        <v>-5</v>
      </c>
    </row>
    <row r="70" spans="2:43" ht="19.5" hidden="1">
      <c r="B70" s="210">
        <f t="shared" si="8"/>
        <v>0</v>
      </c>
      <c r="C70" s="211">
        <f t="shared" si="9"/>
        <v>0</v>
      </c>
      <c r="D70" s="115"/>
      <c r="E70" s="116"/>
      <c r="F70" s="135"/>
      <c r="I70" s="93"/>
      <c r="J70" s="137"/>
      <c r="K70" s="93"/>
      <c r="L70" s="139"/>
      <c r="O70" s="131" t="str">
        <f t="shared" si="10"/>
        <v/>
      </c>
      <c r="P70" s="132">
        <f t="shared" si="11"/>
        <v>0</v>
      </c>
      <c r="AB70" s="134"/>
      <c r="AD70" s="124">
        <f t="shared" si="1"/>
        <v>0</v>
      </c>
      <c r="AE70" s="104">
        <f t="shared" si="2"/>
        <v>0</v>
      </c>
      <c r="AF70" s="104" t="str">
        <f t="shared" si="3"/>
        <v>N</v>
      </c>
      <c r="AG70" s="125" t="str">
        <f t="shared" si="4"/>
        <v>ok</v>
      </c>
      <c r="AH70" s="127" t="str">
        <f t="shared" si="14"/>
        <v>TOWER</v>
      </c>
      <c r="AI70" s="53">
        <v>28</v>
      </c>
      <c r="AJ70" s="53">
        <f t="shared" si="13"/>
        <v>0</v>
      </c>
      <c r="AL70" s="128" t="e">
        <f t="shared" si="5"/>
        <v>#DIV/0!</v>
      </c>
      <c r="AM70" s="128" t="e">
        <f t="shared" si="6"/>
        <v>#DIV/0!</v>
      </c>
      <c r="AN70" s="129" t="e">
        <f t="shared" si="7"/>
        <v>#DIV/0!</v>
      </c>
      <c r="AP70" s="129">
        <f>(SupLL!G317+SupLL!G316)/2</f>
        <v>3.5</v>
      </c>
      <c r="AQ70" s="129">
        <f>(SupLL!H317+SupLL!H316)/2</f>
        <v>-5</v>
      </c>
    </row>
    <row r="71" spans="2:43" ht="20.25" hidden="1" thickBot="1">
      <c r="B71" s="210">
        <f t="shared" si="8"/>
        <v>0</v>
      </c>
      <c r="C71" s="211">
        <f t="shared" si="9"/>
        <v>0</v>
      </c>
      <c r="D71" s="115"/>
      <c r="E71" s="116"/>
      <c r="F71" s="130"/>
      <c r="I71" s="93"/>
      <c r="J71" s="137"/>
      <c r="K71" s="93"/>
      <c r="L71" s="139"/>
      <c r="O71" s="131" t="str">
        <f t="shared" si="10"/>
        <v/>
      </c>
      <c r="P71" s="132">
        <f t="shared" si="11"/>
        <v>0</v>
      </c>
      <c r="AB71" s="134"/>
      <c r="AD71" s="124">
        <f t="shared" si="1"/>
        <v>0</v>
      </c>
      <c r="AE71" s="104">
        <f t="shared" si="2"/>
        <v>0</v>
      </c>
      <c r="AF71" s="104" t="str">
        <f t="shared" si="3"/>
        <v>N</v>
      </c>
      <c r="AG71" s="125" t="str">
        <f t="shared" si="4"/>
        <v>ok</v>
      </c>
      <c r="AH71" s="127" t="str">
        <f t="shared" si="14"/>
        <v>TOWER</v>
      </c>
      <c r="AI71" s="53">
        <v>29</v>
      </c>
      <c r="AJ71" s="53">
        <f t="shared" si="13"/>
        <v>0</v>
      </c>
      <c r="AL71" s="128" t="e">
        <f t="shared" si="5"/>
        <v>#DIV/0!</v>
      </c>
      <c r="AM71" s="128" t="e">
        <f t="shared" si="6"/>
        <v>#DIV/0!</v>
      </c>
      <c r="AN71" s="129" t="e">
        <f t="shared" si="7"/>
        <v>#DIV/0!</v>
      </c>
      <c r="AP71" s="129">
        <f>(SupLL!G318+SupLL!G317)/2</f>
        <v>3.5</v>
      </c>
      <c r="AQ71" s="129">
        <f>(SupLL!H318+SupLL!H317)/2</f>
        <v>-5</v>
      </c>
    </row>
    <row r="72" spans="2:43" ht="19.5" hidden="1">
      <c r="B72" s="210">
        <f t="shared" si="8"/>
        <v>0</v>
      </c>
      <c r="C72" s="211">
        <f t="shared" si="9"/>
        <v>0</v>
      </c>
      <c r="D72" s="115"/>
      <c r="E72" s="116"/>
      <c r="F72" s="135"/>
      <c r="I72" s="93"/>
      <c r="J72" s="137"/>
      <c r="K72" s="93"/>
      <c r="L72" s="139"/>
      <c r="O72" s="131" t="str">
        <f t="shared" si="10"/>
        <v/>
      </c>
      <c r="P72" s="132">
        <f t="shared" si="11"/>
        <v>0</v>
      </c>
      <c r="AB72" s="134"/>
      <c r="AD72" s="124">
        <f t="shared" si="1"/>
        <v>0</v>
      </c>
      <c r="AE72" s="104">
        <f t="shared" si="2"/>
        <v>0</v>
      </c>
      <c r="AF72" s="104" t="str">
        <f t="shared" si="3"/>
        <v>N</v>
      </c>
      <c r="AG72" s="125" t="str">
        <f t="shared" si="4"/>
        <v>ok</v>
      </c>
      <c r="AH72" s="127" t="str">
        <f t="shared" si="14"/>
        <v>TOWER</v>
      </c>
      <c r="AI72" s="53">
        <v>30</v>
      </c>
      <c r="AJ72" s="53">
        <f t="shared" si="13"/>
        <v>0</v>
      </c>
      <c r="AL72" s="128" t="e">
        <f t="shared" si="5"/>
        <v>#DIV/0!</v>
      </c>
      <c r="AM72" s="128" t="e">
        <f t="shared" si="6"/>
        <v>#DIV/0!</v>
      </c>
      <c r="AN72" s="129" t="e">
        <f t="shared" si="7"/>
        <v>#DIV/0!</v>
      </c>
      <c r="AP72" s="129">
        <f>(SupLL!G319+SupLL!G318)/2</f>
        <v>3.5</v>
      </c>
      <c r="AQ72" s="129">
        <f>(SupLL!H319+SupLL!H318)/2</f>
        <v>-5</v>
      </c>
    </row>
    <row r="73" spans="2:43" ht="20.25" hidden="1" thickBot="1">
      <c r="B73" s="210">
        <f t="shared" si="8"/>
        <v>0</v>
      </c>
      <c r="C73" s="211">
        <f t="shared" si="9"/>
        <v>0</v>
      </c>
      <c r="D73" s="115"/>
      <c r="E73" s="116"/>
      <c r="F73" s="130"/>
      <c r="I73" s="93"/>
      <c r="J73" s="137"/>
      <c r="K73" s="93"/>
      <c r="L73" s="139"/>
      <c r="O73" s="131" t="str">
        <f t="shared" si="10"/>
        <v/>
      </c>
      <c r="P73" s="132">
        <f t="shared" si="11"/>
        <v>0</v>
      </c>
      <c r="AB73" s="134"/>
      <c r="AD73" s="124">
        <f t="shared" si="1"/>
        <v>0</v>
      </c>
      <c r="AE73" s="104">
        <f t="shared" si="2"/>
        <v>0</v>
      </c>
      <c r="AF73" s="104" t="str">
        <f t="shared" si="3"/>
        <v>N</v>
      </c>
      <c r="AG73" s="125" t="str">
        <f t="shared" si="4"/>
        <v>ok</v>
      </c>
      <c r="AH73" s="127" t="str">
        <f t="shared" si="14"/>
        <v>TOWER</v>
      </c>
      <c r="AI73" s="53">
        <v>31</v>
      </c>
      <c r="AJ73" s="53">
        <f t="shared" si="13"/>
        <v>0</v>
      </c>
      <c r="AL73" s="128" t="e">
        <f t="shared" si="5"/>
        <v>#DIV/0!</v>
      </c>
      <c r="AM73" s="128" t="e">
        <f t="shared" si="6"/>
        <v>#DIV/0!</v>
      </c>
      <c r="AN73" s="129" t="e">
        <f t="shared" si="7"/>
        <v>#DIV/0!</v>
      </c>
      <c r="AP73" s="129">
        <f>(SupLL!G320+SupLL!G319)/2</f>
        <v>3.5</v>
      </c>
      <c r="AQ73" s="129">
        <f>(SupLL!H320+SupLL!H319)/2</f>
        <v>-5</v>
      </c>
    </row>
    <row r="74" spans="2:43" ht="20.25" hidden="1" thickBot="1">
      <c r="B74" s="210">
        <f t="shared" si="8"/>
        <v>0</v>
      </c>
      <c r="C74" s="211">
        <f t="shared" si="9"/>
        <v>0</v>
      </c>
      <c r="D74" s="115"/>
      <c r="E74" s="116"/>
      <c r="F74" s="130"/>
      <c r="I74" s="93"/>
      <c r="J74" s="137"/>
      <c r="K74" s="93"/>
      <c r="L74" s="139"/>
      <c r="O74" s="131" t="str">
        <f t="shared" si="10"/>
        <v/>
      </c>
      <c r="P74" s="132">
        <f t="shared" si="11"/>
        <v>0</v>
      </c>
      <c r="AB74" s="134"/>
      <c r="AD74" s="124">
        <f t="shared" si="1"/>
        <v>0</v>
      </c>
      <c r="AE74" s="104">
        <f t="shared" si="2"/>
        <v>0</v>
      </c>
      <c r="AF74" s="104" t="str">
        <f t="shared" si="3"/>
        <v>N</v>
      </c>
      <c r="AG74" s="125" t="str">
        <f t="shared" si="4"/>
        <v>ok</v>
      </c>
      <c r="AH74" s="127" t="str">
        <f t="shared" si="14"/>
        <v>TOWER</v>
      </c>
      <c r="AI74" s="53">
        <v>32</v>
      </c>
      <c r="AJ74" s="53">
        <f t="shared" si="13"/>
        <v>0</v>
      </c>
      <c r="AL74" s="128" t="e">
        <f t="shared" si="5"/>
        <v>#DIV/0!</v>
      </c>
      <c r="AM74" s="128" t="e">
        <f t="shared" si="6"/>
        <v>#DIV/0!</v>
      </c>
      <c r="AN74" s="129" t="e">
        <f t="shared" si="7"/>
        <v>#DIV/0!</v>
      </c>
      <c r="AP74" s="129">
        <f>(SupLL!G321+SupLL!G320)/2</f>
        <v>3.5</v>
      </c>
      <c r="AQ74" s="129">
        <f>(SupLL!H321+SupLL!H320)/2</f>
        <v>-5</v>
      </c>
    </row>
    <row r="75" spans="2:43" ht="20.25" hidden="1" thickBot="1">
      <c r="B75" s="210">
        <f t="shared" si="8"/>
        <v>0</v>
      </c>
      <c r="C75" s="211">
        <f t="shared" si="9"/>
        <v>0</v>
      </c>
      <c r="D75" s="115"/>
      <c r="E75" s="116"/>
      <c r="F75" s="138"/>
      <c r="I75" s="93"/>
      <c r="J75" s="137"/>
      <c r="K75" s="93"/>
      <c r="L75" s="139"/>
      <c r="O75" s="131" t="str">
        <f t="shared" si="10"/>
        <v/>
      </c>
      <c r="P75" s="132">
        <f t="shared" si="11"/>
        <v>0</v>
      </c>
      <c r="AB75" s="134"/>
      <c r="AD75" s="124">
        <f t="shared" si="1"/>
        <v>0</v>
      </c>
      <c r="AE75" s="104">
        <f t="shared" si="2"/>
        <v>0</v>
      </c>
      <c r="AF75" s="104" t="str">
        <f t="shared" si="3"/>
        <v>N</v>
      </c>
      <c r="AG75" s="125" t="str">
        <f t="shared" si="4"/>
        <v>ok</v>
      </c>
      <c r="AH75" s="127" t="str">
        <f t="shared" si="14"/>
        <v>TOWER</v>
      </c>
      <c r="AI75" s="53">
        <v>33</v>
      </c>
      <c r="AJ75" s="53">
        <f t="shared" si="13"/>
        <v>0</v>
      </c>
      <c r="AL75" s="128" t="e">
        <f t="shared" si="5"/>
        <v>#DIV/0!</v>
      </c>
      <c r="AM75" s="128" t="e">
        <f t="shared" si="6"/>
        <v>#DIV/0!</v>
      </c>
      <c r="AN75" s="129" t="e">
        <f t="shared" si="7"/>
        <v>#DIV/0!</v>
      </c>
      <c r="AP75" s="129">
        <f>(SupLL!G322+SupLL!G321)/2</f>
        <v>3.5</v>
      </c>
      <c r="AQ75" s="129">
        <f>(SupLL!H322+SupLL!H321)/2</f>
        <v>-5</v>
      </c>
    </row>
    <row r="76" spans="2:43" ht="19.5" hidden="1">
      <c r="B76" s="210">
        <f t="shared" si="8"/>
        <v>0</v>
      </c>
      <c r="C76" s="211">
        <f t="shared" si="9"/>
        <v>0</v>
      </c>
      <c r="D76" s="115"/>
      <c r="E76" s="116"/>
      <c r="F76" s="117"/>
      <c r="I76" s="93"/>
      <c r="J76" s="137"/>
      <c r="K76" s="93"/>
      <c r="L76" s="139"/>
      <c r="O76" s="131" t="str">
        <f t="shared" si="10"/>
        <v/>
      </c>
      <c r="P76" s="132">
        <f t="shared" si="11"/>
        <v>0</v>
      </c>
      <c r="AB76" s="134"/>
      <c r="AD76" s="124">
        <f t="shared" si="1"/>
        <v>0</v>
      </c>
      <c r="AE76" s="104">
        <f t="shared" si="2"/>
        <v>0</v>
      </c>
      <c r="AF76" s="104" t="str">
        <f t="shared" si="3"/>
        <v>N</v>
      </c>
      <c r="AG76" s="125" t="str">
        <f t="shared" si="4"/>
        <v>ok</v>
      </c>
      <c r="AH76" s="127" t="str">
        <f t="shared" si="14"/>
        <v>TOWER</v>
      </c>
      <c r="AI76" s="53">
        <v>34</v>
      </c>
      <c r="AJ76" s="53">
        <f t="shared" si="13"/>
        <v>0</v>
      </c>
      <c r="AL76" s="128" t="e">
        <f t="shared" si="5"/>
        <v>#DIV/0!</v>
      </c>
      <c r="AM76" s="128" t="e">
        <f t="shared" si="6"/>
        <v>#DIV/0!</v>
      </c>
      <c r="AN76" s="129" t="e">
        <f t="shared" si="7"/>
        <v>#DIV/0!</v>
      </c>
      <c r="AP76" s="129">
        <f>(SupLL!G323+SupLL!G322)/2</f>
        <v>3.5</v>
      </c>
      <c r="AQ76" s="129">
        <f>(SupLL!H323+SupLL!H322)/2</f>
        <v>-5</v>
      </c>
    </row>
    <row r="77" spans="2:43" ht="20.25" hidden="1" thickBot="1">
      <c r="B77" s="210">
        <f t="shared" si="8"/>
        <v>0</v>
      </c>
      <c r="C77" s="211">
        <f t="shared" si="9"/>
        <v>0</v>
      </c>
      <c r="D77" s="115"/>
      <c r="E77" s="116"/>
      <c r="F77" s="130"/>
      <c r="I77" s="93"/>
      <c r="J77" s="137"/>
      <c r="K77" s="93"/>
      <c r="L77" s="139"/>
      <c r="O77" s="131" t="str">
        <f t="shared" si="10"/>
        <v/>
      </c>
      <c r="P77" s="132">
        <f t="shared" si="11"/>
        <v>0</v>
      </c>
      <c r="AB77" s="134"/>
      <c r="AD77" s="124">
        <f t="shared" si="1"/>
        <v>0</v>
      </c>
      <c r="AE77" s="104">
        <f t="shared" si="2"/>
        <v>0</v>
      </c>
      <c r="AF77" s="104" t="str">
        <f t="shared" si="3"/>
        <v>N</v>
      </c>
      <c r="AG77" s="125" t="str">
        <f t="shared" si="4"/>
        <v>ok</v>
      </c>
      <c r="AH77" s="127" t="str">
        <f t="shared" si="14"/>
        <v>TOWER</v>
      </c>
      <c r="AI77" s="53">
        <v>35</v>
      </c>
      <c r="AJ77" s="53">
        <f t="shared" si="13"/>
        <v>0</v>
      </c>
      <c r="AL77" s="128" t="e">
        <f t="shared" si="5"/>
        <v>#DIV/0!</v>
      </c>
      <c r="AM77" s="128" t="e">
        <f t="shared" si="6"/>
        <v>#DIV/0!</v>
      </c>
      <c r="AN77" s="129" t="e">
        <f t="shared" si="7"/>
        <v>#DIV/0!</v>
      </c>
      <c r="AP77" s="129">
        <f>(SupLL!G324+SupLL!G323)/2</f>
        <v>3.5</v>
      </c>
      <c r="AQ77" s="129">
        <f>(SupLL!H324+SupLL!H323)/2</f>
        <v>-5</v>
      </c>
    </row>
    <row r="78" spans="2:43" ht="20.25" hidden="1" thickBot="1">
      <c r="B78" s="210">
        <f t="shared" si="8"/>
        <v>0</v>
      </c>
      <c r="C78" s="211">
        <f t="shared" si="9"/>
        <v>0</v>
      </c>
      <c r="D78" s="115"/>
      <c r="E78" s="116"/>
      <c r="F78" s="130"/>
      <c r="I78" s="93"/>
      <c r="J78" s="137"/>
      <c r="K78" s="93"/>
      <c r="L78" s="139"/>
      <c r="O78" s="131" t="str">
        <f t="shared" si="10"/>
        <v/>
      </c>
      <c r="P78" s="132">
        <f t="shared" si="11"/>
        <v>0</v>
      </c>
      <c r="AB78" s="134"/>
      <c r="AD78" s="124">
        <f t="shared" si="1"/>
        <v>0</v>
      </c>
      <c r="AE78" s="104">
        <f t="shared" si="2"/>
        <v>0</v>
      </c>
      <c r="AF78" s="104" t="str">
        <f t="shared" si="3"/>
        <v>N</v>
      </c>
      <c r="AG78" s="125" t="str">
        <f t="shared" si="4"/>
        <v>ok</v>
      </c>
      <c r="AH78" s="127" t="str">
        <f t="shared" si="14"/>
        <v>TOWER</v>
      </c>
      <c r="AI78" s="53">
        <v>36</v>
      </c>
      <c r="AJ78" s="53">
        <f t="shared" si="13"/>
        <v>0</v>
      </c>
      <c r="AL78" s="128" t="e">
        <f t="shared" si="5"/>
        <v>#DIV/0!</v>
      </c>
      <c r="AM78" s="128" t="e">
        <f t="shared" si="6"/>
        <v>#DIV/0!</v>
      </c>
      <c r="AN78" s="129" t="e">
        <f t="shared" si="7"/>
        <v>#DIV/0!</v>
      </c>
      <c r="AP78" s="129">
        <f>(SupLL!G325+SupLL!G324)/2</f>
        <v>3.5</v>
      </c>
      <c r="AQ78" s="129">
        <f>(SupLL!H325+SupLL!H324)/2</f>
        <v>-5</v>
      </c>
    </row>
    <row r="79" spans="2:43" ht="20.25" hidden="1" thickBot="1">
      <c r="B79" s="210">
        <f t="shared" si="8"/>
        <v>0</v>
      </c>
      <c r="C79" s="211">
        <f t="shared" si="9"/>
        <v>0</v>
      </c>
      <c r="D79" s="115"/>
      <c r="E79" s="116"/>
      <c r="F79" s="138"/>
      <c r="I79" s="93"/>
      <c r="J79" s="137"/>
      <c r="K79" s="93"/>
      <c r="L79" s="139"/>
      <c r="O79" s="131" t="str">
        <f t="shared" si="10"/>
        <v/>
      </c>
      <c r="P79" s="132">
        <f t="shared" si="11"/>
        <v>0</v>
      </c>
      <c r="AB79" s="134"/>
      <c r="AD79" s="124">
        <f t="shared" si="1"/>
        <v>0</v>
      </c>
      <c r="AE79" s="104">
        <f t="shared" si="2"/>
        <v>0</v>
      </c>
      <c r="AF79" s="104" t="str">
        <f t="shared" si="3"/>
        <v>N</v>
      </c>
      <c r="AG79" s="125" t="str">
        <f t="shared" si="4"/>
        <v>ok</v>
      </c>
      <c r="AH79" s="127" t="str">
        <f t="shared" si="14"/>
        <v>TOWER</v>
      </c>
      <c r="AI79" s="53">
        <v>37</v>
      </c>
      <c r="AJ79" s="53">
        <f t="shared" si="13"/>
        <v>0</v>
      </c>
      <c r="AL79" s="128" t="e">
        <f t="shared" si="5"/>
        <v>#DIV/0!</v>
      </c>
      <c r="AM79" s="128" t="e">
        <f t="shared" si="6"/>
        <v>#DIV/0!</v>
      </c>
      <c r="AN79" s="129" t="e">
        <f t="shared" si="7"/>
        <v>#DIV/0!</v>
      </c>
      <c r="AP79" s="129">
        <f>(SupLL!G326+SupLL!G325)/2</f>
        <v>3.5</v>
      </c>
      <c r="AQ79" s="129">
        <f>(SupLL!H326+SupLL!H325)/2</f>
        <v>-5</v>
      </c>
    </row>
    <row r="80" spans="2:43" ht="20.25" hidden="1" thickBot="1">
      <c r="B80" s="210">
        <f t="shared" si="8"/>
        <v>0</v>
      </c>
      <c r="C80" s="211">
        <f t="shared" si="9"/>
        <v>0</v>
      </c>
      <c r="D80" s="115"/>
      <c r="E80" s="116"/>
      <c r="F80" s="130"/>
      <c r="I80" s="93"/>
      <c r="J80" s="137"/>
      <c r="K80" s="93"/>
      <c r="L80" s="139"/>
      <c r="O80" s="131" t="str">
        <f t="shared" si="10"/>
        <v/>
      </c>
      <c r="P80" s="132">
        <f t="shared" si="11"/>
        <v>0</v>
      </c>
      <c r="AB80" s="134"/>
      <c r="AD80" s="124">
        <f t="shared" si="1"/>
        <v>0</v>
      </c>
      <c r="AE80" s="104">
        <f t="shared" si="2"/>
        <v>0</v>
      </c>
      <c r="AF80" s="104" t="str">
        <f t="shared" si="3"/>
        <v>N</v>
      </c>
      <c r="AG80" s="125" t="str">
        <f t="shared" si="4"/>
        <v>ok</v>
      </c>
      <c r="AH80" s="127" t="str">
        <f t="shared" si="14"/>
        <v>TOWER</v>
      </c>
      <c r="AI80" s="53">
        <v>38</v>
      </c>
      <c r="AJ80" s="53">
        <f t="shared" si="13"/>
        <v>0</v>
      </c>
      <c r="AL80" s="128" t="e">
        <f t="shared" si="5"/>
        <v>#DIV/0!</v>
      </c>
      <c r="AM80" s="128" t="e">
        <f t="shared" si="6"/>
        <v>#DIV/0!</v>
      </c>
      <c r="AN80" s="129" t="e">
        <f t="shared" si="7"/>
        <v>#DIV/0!</v>
      </c>
      <c r="AP80" s="129">
        <f>(SupLL!G327+SupLL!G326)/2</f>
        <v>3.5</v>
      </c>
      <c r="AQ80" s="129">
        <f>(SupLL!H327+SupLL!H326)/2</f>
        <v>-5</v>
      </c>
    </row>
    <row r="81" spans="2:43" ht="20.25" hidden="1" thickBot="1">
      <c r="B81" s="210">
        <f t="shared" si="8"/>
        <v>0</v>
      </c>
      <c r="C81" s="211">
        <f t="shared" si="9"/>
        <v>0</v>
      </c>
      <c r="D81" s="115"/>
      <c r="E81" s="116"/>
      <c r="F81" s="130"/>
      <c r="I81" s="93"/>
      <c r="J81" s="137"/>
      <c r="K81" s="93"/>
      <c r="L81" s="139"/>
      <c r="O81" s="131" t="str">
        <f t="shared" si="10"/>
        <v/>
      </c>
      <c r="P81" s="132">
        <f t="shared" si="11"/>
        <v>0</v>
      </c>
      <c r="AB81" s="134"/>
      <c r="AD81" s="124">
        <f t="shared" si="1"/>
        <v>0</v>
      </c>
      <c r="AE81" s="104">
        <f t="shared" si="2"/>
        <v>0</v>
      </c>
      <c r="AF81" s="104" t="str">
        <f t="shared" si="3"/>
        <v>N</v>
      </c>
      <c r="AG81" s="125" t="str">
        <f t="shared" si="4"/>
        <v>ok</v>
      </c>
      <c r="AH81" s="127" t="str">
        <f t="shared" si="14"/>
        <v>TOWER</v>
      </c>
      <c r="AI81" s="53">
        <v>39</v>
      </c>
      <c r="AJ81" s="53">
        <f t="shared" si="13"/>
        <v>0</v>
      </c>
      <c r="AL81" s="128" t="e">
        <f t="shared" si="5"/>
        <v>#DIV/0!</v>
      </c>
      <c r="AM81" s="128" t="e">
        <f t="shared" si="6"/>
        <v>#DIV/0!</v>
      </c>
      <c r="AN81" s="129" t="e">
        <f t="shared" si="7"/>
        <v>#DIV/0!</v>
      </c>
      <c r="AP81" s="129">
        <f>(SupLL!G328+SupLL!G327)/2</f>
        <v>3.5</v>
      </c>
      <c r="AQ81" s="129">
        <f>(SupLL!H328+SupLL!H327)/2</f>
        <v>-5</v>
      </c>
    </row>
    <row r="82" spans="2:43" ht="19.5" hidden="1">
      <c r="B82" s="210">
        <f t="shared" si="8"/>
        <v>0</v>
      </c>
      <c r="C82" s="211">
        <f t="shared" si="9"/>
        <v>0</v>
      </c>
      <c r="D82" s="115"/>
      <c r="E82" s="116"/>
      <c r="F82" s="135"/>
      <c r="I82" s="93"/>
      <c r="J82" s="137"/>
      <c r="K82" s="93"/>
      <c r="L82" s="139"/>
      <c r="O82" s="131" t="str">
        <f t="shared" si="10"/>
        <v/>
      </c>
      <c r="P82" s="132">
        <f t="shared" si="11"/>
        <v>0</v>
      </c>
      <c r="AB82" s="134"/>
      <c r="AD82" s="124">
        <f t="shared" si="1"/>
        <v>0</v>
      </c>
      <c r="AE82" s="104">
        <f t="shared" si="2"/>
        <v>0</v>
      </c>
      <c r="AF82" s="104" t="str">
        <f t="shared" si="3"/>
        <v>N</v>
      </c>
      <c r="AG82" s="125" t="str">
        <f t="shared" si="4"/>
        <v>ok</v>
      </c>
      <c r="AH82" s="127" t="str">
        <f t="shared" si="14"/>
        <v>TOWER</v>
      </c>
      <c r="AI82" s="53">
        <v>40</v>
      </c>
      <c r="AJ82" s="53">
        <f t="shared" si="13"/>
        <v>0</v>
      </c>
      <c r="AL82" s="128" t="e">
        <f t="shared" si="5"/>
        <v>#DIV/0!</v>
      </c>
      <c r="AM82" s="128" t="e">
        <f t="shared" si="6"/>
        <v>#DIV/0!</v>
      </c>
      <c r="AN82" s="129" t="e">
        <f t="shared" si="7"/>
        <v>#DIV/0!</v>
      </c>
      <c r="AP82" s="129">
        <f>(SupLL!G329+SupLL!G328)/2</f>
        <v>3.5</v>
      </c>
      <c r="AQ82" s="129">
        <f>(SupLL!H329+SupLL!H328)/2</f>
        <v>-5</v>
      </c>
    </row>
    <row r="83" spans="2:43" ht="20.25" hidden="1" thickBot="1">
      <c r="B83" s="210">
        <f t="shared" si="8"/>
        <v>0</v>
      </c>
      <c r="C83" s="211">
        <f t="shared" si="9"/>
        <v>0</v>
      </c>
      <c r="D83" s="115"/>
      <c r="E83" s="116"/>
      <c r="F83" s="130"/>
      <c r="I83" s="93"/>
      <c r="J83" s="137"/>
      <c r="K83" s="93"/>
      <c r="L83" s="139"/>
      <c r="O83" s="131" t="str">
        <f t="shared" si="10"/>
        <v/>
      </c>
      <c r="P83" s="132">
        <f t="shared" si="11"/>
        <v>0</v>
      </c>
      <c r="AB83" s="134"/>
      <c r="AD83" s="124">
        <f t="shared" si="1"/>
        <v>0</v>
      </c>
      <c r="AE83" s="104">
        <f t="shared" si="2"/>
        <v>0</v>
      </c>
      <c r="AF83" s="104" t="str">
        <f t="shared" si="3"/>
        <v>N</v>
      </c>
      <c r="AG83" s="125" t="str">
        <f t="shared" si="4"/>
        <v>ok</v>
      </c>
      <c r="AH83" s="127" t="str">
        <f t="shared" si="14"/>
        <v>TOWER</v>
      </c>
      <c r="AI83" s="53">
        <v>41</v>
      </c>
      <c r="AJ83" s="53">
        <f t="shared" si="13"/>
        <v>0</v>
      </c>
      <c r="AL83" s="128" t="e">
        <f t="shared" si="5"/>
        <v>#DIV/0!</v>
      </c>
      <c r="AM83" s="128" t="e">
        <f t="shared" si="6"/>
        <v>#DIV/0!</v>
      </c>
      <c r="AN83" s="129" t="e">
        <f t="shared" si="7"/>
        <v>#DIV/0!</v>
      </c>
      <c r="AP83" s="129">
        <f>(SupLL!G330+SupLL!G329)/2</f>
        <v>3.5</v>
      </c>
      <c r="AQ83" s="129">
        <f>(SupLL!H330+SupLL!H329)/2</f>
        <v>-5</v>
      </c>
    </row>
    <row r="84" spans="2:43" ht="19.5" hidden="1">
      <c r="B84" s="210">
        <f t="shared" si="8"/>
        <v>0</v>
      </c>
      <c r="C84" s="211">
        <f t="shared" si="9"/>
        <v>0</v>
      </c>
      <c r="D84" s="115"/>
      <c r="E84" s="116"/>
      <c r="F84" s="135"/>
      <c r="I84" s="93"/>
      <c r="J84" s="137"/>
      <c r="K84" s="93"/>
      <c r="L84" s="139"/>
      <c r="O84" s="131" t="str">
        <f t="shared" si="10"/>
        <v/>
      </c>
      <c r="P84" s="132">
        <f t="shared" si="11"/>
        <v>0</v>
      </c>
      <c r="AB84" s="134"/>
      <c r="AD84" s="124">
        <f t="shared" si="1"/>
        <v>0</v>
      </c>
      <c r="AE84" s="104">
        <f t="shared" si="2"/>
        <v>0</v>
      </c>
      <c r="AF84" s="104" t="str">
        <f t="shared" si="3"/>
        <v>N</v>
      </c>
      <c r="AG84" s="125" t="str">
        <f t="shared" si="4"/>
        <v>ok</v>
      </c>
      <c r="AH84" s="127" t="str">
        <f t="shared" si="14"/>
        <v>TOWER</v>
      </c>
      <c r="AI84" s="53">
        <v>42</v>
      </c>
      <c r="AJ84" s="53">
        <f t="shared" si="13"/>
        <v>0</v>
      </c>
      <c r="AL84" s="128" t="e">
        <f t="shared" si="5"/>
        <v>#DIV/0!</v>
      </c>
      <c r="AM84" s="128" t="e">
        <f t="shared" si="6"/>
        <v>#DIV/0!</v>
      </c>
      <c r="AN84" s="129" t="e">
        <f t="shared" si="7"/>
        <v>#DIV/0!</v>
      </c>
      <c r="AP84" s="129">
        <f>(SupLL!G331+SupLL!G330)/2</f>
        <v>3.5</v>
      </c>
      <c r="AQ84" s="129">
        <f>(SupLL!H331+SupLL!H330)/2</f>
        <v>-5</v>
      </c>
    </row>
    <row r="85" spans="2:43" ht="20.25" hidden="1" thickBot="1">
      <c r="B85" s="210">
        <f t="shared" si="8"/>
        <v>0</v>
      </c>
      <c r="C85" s="211">
        <f t="shared" si="9"/>
        <v>0</v>
      </c>
      <c r="D85" s="115"/>
      <c r="E85" s="116"/>
      <c r="F85" s="130"/>
      <c r="I85" s="93"/>
      <c r="J85" s="137"/>
      <c r="K85" s="93"/>
      <c r="L85" s="139"/>
      <c r="O85" s="131" t="str">
        <f t="shared" si="10"/>
        <v/>
      </c>
      <c r="P85" s="132">
        <f t="shared" si="11"/>
        <v>0</v>
      </c>
      <c r="AB85" s="134"/>
      <c r="AD85" s="124">
        <f t="shared" si="1"/>
        <v>0</v>
      </c>
      <c r="AE85" s="104">
        <f t="shared" si="2"/>
        <v>0</v>
      </c>
      <c r="AF85" s="104" t="str">
        <f t="shared" si="3"/>
        <v>N</v>
      </c>
      <c r="AG85" s="125" t="str">
        <f t="shared" si="4"/>
        <v>ok</v>
      </c>
      <c r="AH85" s="127" t="str">
        <f t="shared" si="14"/>
        <v>TOWER</v>
      </c>
      <c r="AI85" s="53">
        <v>43</v>
      </c>
      <c r="AJ85" s="53">
        <f t="shared" si="13"/>
        <v>0</v>
      </c>
      <c r="AL85" s="128" t="e">
        <f t="shared" si="5"/>
        <v>#DIV/0!</v>
      </c>
      <c r="AM85" s="128" t="e">
        <f t="shared" si="6"/>
        <v>#DIV/0!</v>
      </c>
      <c r="AN85" s="129" t="e">
        <f t="shared" si="7"/>
        <v>#DIV/0!</v>
      </c>
      <c r="AP85" s="129">
        <f>(SupLL!G332+SupLL!G331)/2</f>
        <v>3.5</v>
      </c>
      <c r="AQ85" s="129">
        <f>(SupLL!H332+SupLL!H331)/2</f>
        <v>-5</v>
      </c>
    </row>
    <row r="86" spans="2:43" ht="19.5" hidden="1">
      <c r="B86" s="210">
        <f t="shared" si="8"/>
        <v>0</v>
      </c>
      <c r="C86" s="211">
        <f t="shared" si="9"/>
        <v>0</v>
      </c>
      <c r="D86" s="115"/>
      <c r="E86" s="116"/>
      <c r="F86" s="135"/>
      <c r="I86" s="93"/>
      <c r="J86" s="137"/>
      <c r="K86" s="93"/>
      <c r="L86" s="139"/>
      <c r="O86" s="131" t="str">
        <f t="shared" si="10"/>
        <v/>
      </c>
      <c r="P86" s="132">
        <f t="shared" si="11"/>
        <v>0</v>
      </c>
      <c r="AB86" s="134"/>
      <c r="AD86" s="124">
        <f t="shared" si="1"/>
        <v>0</v>
      </c>
      <c r="AE86" s="104">
        <f t="shared" si="2"/>
        <v>0</v>
      </c>
      <c r="AF86" s="104" t="str">
        <f t="shared" si="3"/>
        <v>N</v>
      </c>
      <c r="AG86" s="125" t="str">
        <f t="shared" si="4"/>
        <v>ok</v>
      </c>
      <c r="AH86" s="127" t="str">
        <f t="shared" si="14"/>
        <v>TOWER</v>
      </c>
      <c r="AI86" s="53">
        <v>44</v>
      </c>
      <c r="AJ86" s="53">
        <f t="shared" si="13"/>
        <v>0</v>
      </c>
      <c r="AL86" s="128" t="e">
        <f t="shared" si="5"/>
        <v>#DIV/0!</v>
      </c>
      <c r="AM86" s="128" t="e">
        <f t="shared" si="6"/>
        <v>#DIV/0!</v>
      </c>
      <c r="AN86" s="129" t="e">
        <f t="shared" si="7"/>
        <v>#DIV/0!</v>
      </c>
      <c r="AP86" s="129">
        <f>(SupLL!G333+SupLL!G332)/2</f>
        <v>3.5</v>
      </c>
      <c r="AQ86" s="129">
        <f>(SupLL!H333+SupLL!H332)/2</f>
        <v>-5</v>
      </c>
    </row>
    <row r="87" spans="2:43" ht="20.25" hidden="1" thickBot="1">
      <c r="B87" s="210">
        <f t="shared" si="8"/>
        <v>0</v>
      </c>
      <c r="C87" s="211">
        <f t="shared" si="9"/>
        <v>0</v>
      </c>
      <c r="D87" s="115"/>
      <c r="E87" s="116"/>
      <c r="F87" s="130"/>
      <c r="I87" s="93"/>
      <c r="J87" s="137"/>
      <c r="K87" s="93"/>
      <c r="L87" s="139"/>
      <c r="O87" s="131" t="str">
        <f t="shared" si="10"/>
        <v/>
      </c>
      <c r="P87" s="132">
        <f t="shared" si="11"/>
        <v>0</v>
      </c>
      <c r="AB87" s="134"/>
      <c r="AD87" s="124">
        <f t="shared" si="1"/>
        <v>0</v>
      </c>
      <c r="AE87" s="104">
        <f t="shared" si="2"/>
        <v>0</v>
      </c>
      <c r="AF87" s="104" t="str">
        <f t="shared" si="3"/>
        <v>N</v>
      </c>
      <c r="AG87" s="125" t="str">
        <f t="shared" si="4"/>
        <v>ok</v>
      </c>
      <c r="AH87" s="127" t="str">
        <f t="shared" si="14"/>
        <v>TOWER</v>
      </c>
      <c r="AI87" s="53">
        <v>45</v>
      </c>
      <c r="AJ87" s="53">
        <f t="shared" si="13"/>
        <v>0</v>
      </c>
      <c r="AL87" s="128" t="e">
        <f t="shared" si="5"/>
        <v>#DIV/0!</v>
      </c>
      <c r="AM87" s="128" t="e">
        <f t="shared" si="6"/>
        <v>#DIV/0!</v>
      </c>
      <c r="AN87" s="129" t="e">
        <f t="shared" si="7"/>
        <v>#DIV/0!</v>
      </c>
      <c r="AP87" s="129">
        <f>(SupLL!G334+SupLL!G333)/2</f>
        <v>3.5</v>
      </c>
      <c r="AQ87" s="129">
        <f>(SupLL!H334+SupLL!H333)/2</f>
        <v>-5</v>
      </c>
    </row>
    <row r="88" spans="2:43" ht="19.5" hidden="1">
      <c r="B88" s="210">
        <f t="shared" si="8"/>
        <v>0</v>
      </c>
      <c r="C88" s="211">
        <f t="shared" si="9"/>
        <v>0</v>
      </c>
      <c r="D88" s="115"/>
      <c r="E88" s="116"/>
      <c r="F88" s="135"/>
      <c r="I88" s="93"/>
      <c r="J88" s="137"/>
      <c r="K88" s="93"/>
      <c r="L88" s="139"/>
      <c r="O88" s="131" t="str">
        <f t="shared" si="10"/>
        <v/>
      </c>
      <c r="P88" s="132">
        <f t="shared" si="11"/>
        <v>0</v>
      </c>
      <c r="AB88" s="134"/>
      <c r="AD88" s="124">
        <f t="shared" si="1"/>
        <v>0</v>
      </c>
      <c r="AE88" s="104">
        <f t="shared" si="2"/>
        <v>0</v>
      </c>
      <c r="AF88" s="104" t="str">
        <f t="shared" si="3"/>
        <v>N</v>
      </c>
      <c r="AG88" s="125" t="str">
        <f t="shared" si="4"/>
        <v>ok</v>
      </c>
      <c r="AH88" s="127" t="str">
        <f t="shared" si="14"/>
        <v>TOWER</v>
      </c>
      <c r="AI88" s="53">
        <v>46</v>
      </c>
      <c r="AJ88" s="53">
        <f t="shared" si="13"/>
        <v>0</v>
      </c>
      <c r="AL88" s="128" t="e">
        <f t="shared" si="5"/>
        <v>#DIV/0!</v>
      </c>
      <c r="AM88" s="128" t="e">
        <f t="shared" si="6"/>
        <v>#DIV/0!</v>
      </c>
      <c r="AN88" s="129" t="e">
        <f t="shared" si="7"/>
        <v>#DIV/0!</v>
      </c>
      <c r="AP88" s="129">
        <f>(SupLL!G335+SupLL!G334)/2</f>
        <v>3.5</v>
      </c>
      <c r="AQ88" s="129">
        <f>(SupLL!H335+SupLL!H334)/2</f>
        <v>-5</v>
      </c>
    </row>
    <row r="89" spans="2:43" ht="20.25" hidden="1" thickBot="1">
      <c r="B89" s="210">
        <f t="shared" si="8"/>
        <v>0</v>
      </c>
      <c r="C89" s="211">
        <f t="shared" si="9"/>
        <v>0</v>
      </c>
      <c r="D89" s="115"/>
      <c r="E89" s="116"/>
      <c r="F89" s="130"/>
      <c r="I89" s="93"/>
      <c r="J89" s="137"/>
      <c r="K89" s="93"/>
      <c r="L89" s="139"/>
      <c r="O89" s="131" t="str">
        <f t="shared" si="10"/>
        <v/>
      </c>
      <c r="P89" s="132">
        <f t="shared" si="11"/>
        <v>0</v>
      </c>
      <c r="AB89" s="134"/>
      <c r="AD89" s="124">
        <f t="shared" si="1"/>
        <v>0</v>
      </c>
      <c r="AE89" s="104">
        <f t="shared" si="2"/>
        <v>0</v>
      </c>
      <c r="AF89" s="104" t="str">
        <f t="shared" si="3"/>
        <v>N</v>
      </c>
      <c r="AG89" s="125" t="str">
        <f t="shared" si="4"/>
        <v>ok</v>
      </c>
      <c r="AH89" s="127" t="str">
        <f t="shared" si="14"/>
        <v>TOWER</v>
      </c>
      <c r="AI89" s="53">
        <v>47</v>
      </c>
      <c r="AJ89" s="53">
        <f t="shared" si="13"/>
        <v>0</v>
      </c>
      <c r="AL89" s="128" t="e">
        <f t="shared" si="5"/>
        <v>#DIV/0!</v>
      </c>
      <c r="AM89" s="128" t="e">
        <f t="shared" si="6"/>
        <v>#DIV/0!</v>
      </c>
      <c r="AN89" s="129" t="e">
        <f t="shared" si="7"/>
        <v>#DIV/0!</v>
      </c>
      <c r="AP89" s="129">
        <f>(SupLL!G336+SupLL!G335)/2</f>
        <v>3.5</v>
      </c>
      <c r="AQ89" s="129">
        <f>(SupLL!H336+SupLL!H335)/2</f>
        <v>-5</v>
      </c>
    </row>
    <row r="90" spans="2:43" ht="19.5" hidden="1">
      <c r="B90" s="210">
        <f t="shared" si="8"/>
        <v>0</v>
      </c>
      <c r="C90" s="211">
        <f t="shared" si="9"/>
        <v>0</v>
      </c>
      <c r="D90" s="115"/>
      <c r="E90" s="116"/>
      <c r="F90" s="135"/>
      <c r="I90" s="93"/>
      <c r="J90" s="137"/>
      <c r="K90" s="93"/>
      <c r="L90" s="139"/>
      <c r="O90" s="131" t="str">
        <f t="shared" si="10"/>
        <v/>
      </c>
      <c r="P90" s="132">
        <f t="shared" si="11"/>
        <v>0</v>
      </c>
      <c r="AB90" s="134"/>
      <c r="AD90" s="124">
        <f t="shared" si="1"/>
        <v>0</v>
      </c>
      <c r="AE90" s="104">
        <f t="shared" si="2"/>
        <v>0</v>
      </c>
      <c r="AF90" s="104" t="str">
        <f t="shared" si="3"/>
        <v>N</v>
      </c>
      <c r="AG90" s="125" t="str">
        <f t="shared" si="4"/>
        <v>ok</v>
      </c>
      <c r="AH90" s="127" t="str">
        <f t="shared" si="14"/>
        <v>TOWER</v>
      </c>
      <c r="AI90" s="53">
        <v>48</v>
      </c>
      <c r="AJ90" s="53">
        <f t="shared" si="13"/>
        <v>0</v>
      </c>
      <c r="AL90" s="128" t="e">
        <f t="shared" si="5"/>
        <v>#DIV/0!</v>
      </c>
      <c r="AM90" s="128" t="e">
        <f t="shared" si="6"/>
        <v>#DIV/0!</v>
      </c>
      <c r="AN90" s="129" t="e">
        <f t="shared" si="7"/>
        <v>#DIV/0!</v>
      </c>
      <c r="AP90" s="129">
        <f>(SupLL!G337+SupLL!G336)/2</f>
        <v>3.5</v>
      </c>
      <c r="AQ90" s="129">
        <f>(SupLL!H337+SupLL!H336)/2</f>
        <v>-5</v>
      </c>
    </row>
    <row r="91" spans="2:43" ht="20.25" hidden="1" thickBot="1">
      <c r="B91" s="210">
        <f t="shared" si="8"/>
        <v>0</v>
      </c>
      <c r="C91" s="211">
        <f t="shared" si="9"/>
        <v>0</v>
      </c>
      <c r="D91" s="115"/>
      <c r="E91" s="116"/>
      <c r="F91" s="130"/>
      <c r="I91" s="93"/>
      <c r="J91" s="137"/>
      <c r="K91" s="93"/>
      <c r="L91" s="139"/>
      <c r="O91" s="131" t="str">
        <f t="shared" si="10"/>
        <v/>
      </c>
      <c r="P91" s="132">
        <f t="shared" si="11"/>
        <v>0</v>
      </c>
      <c r="AB91" s="134"/>
      <c r="AD91" s="124">
        <f t="shared" si="1"/>
        <v>0</v>
      </c>
      <c r="AE91" s="104">
        <f t="shared" si="2"/>
        <v>0</v>
      </c>
      <c r="AF91" s="104" t="str">
        <f t="shared" si="3"/>
        <v>N</v>
      </c>
      <c r="AG91" s="125" t="str">
        <f t="shared" si="4"/>
        <v>ok</v>
      </c>
      <c r="AH91" s="127" t="str">
        <f t="shared" si="14"/>
        <v>TOWER</v>
      </c>
      <c r="AI91" s="53">
        <v>49</v>
      </c>
      <c r="AJ91" s="53">
        <f t="shared" si="13"/>
        <v>0</v>
      </c>
      <c r="AL91" s="128" t="e">
        <f t="shared" si="5"/>
        <v>#DIV/0!</v>
      </c>
      <c r="AM91" s="128" t="e">
        <f t="shared" si="6"/>
        <v>#DIV/0!</v>
      </c>
      <c r="AN91" s="129" t="e">
        <f t="shared" si="7"/>
        <v>#DIV/0!</v>
      </c>
      <c r="AP91" s="129">
        <f>(SupLL!G338+SupLL!G337)/2</f>
        <v>3.5</v>
      </c>
      <c r="AQ91" s="129">
        <f>(SupLL!H338+SupLL!H337)/2</f>
        <v>-5</v>
      </c>
    </row>
    <row r="92" spans="2:43" ht="19.5" hidden="1">
      <c r="B92" s="210">
        <f t="shared" si="8"/>
        <v>0</v>
      </c>
      <c r="C92" s="211">
        <f t="shared" si="9"/>
        <v>0</v>
      </c>
      <c r="D92" s="115"/>
      <c r="E92" s="116"/>
      <c r="F92" s="135"/>
      <c r="I92" s="93"/>
      <c r="J92" s="137"/>
      <c r="K92" s="93"/>
      <c r="L92" s="139"/>
      <c r="O92" s="131" t="str">
        <f t="shared" si="10"/>
        <v/>
      </c>
      <c r="P92" s="132">
        <f t="shared" si="11"/>
        <v>0</v>
      </c>
      <c r="AB92" s="134"/>
      <c r="AD92" s="124">
        <f t="shared" si="1"/>
        <v>0</v>
      </c>
      <c r="AE92" s="104">
        <f t="shared" si="2"/>
        <v>0</v>
      </c>
      <c r="AF92" s="104" t="str">
        <f t="shared" si="3"/>
        <v>N</v>
      </c>
      <c r="AG92" s="125" t="str">
        <f t="shared" si="4"/>
        <v>ok</v>
      </c>
      <c r="AH92" s="127" t="str">
        <f t="shared" si="14"/>
        <v>TOWER</v>
      </c>
      <c r="AI92" s="53">
        <v>50</v>
      </c>
      <c r="AJ92" s="53">
        <f t="shared" si="13"/>
        <v>0</v>
      </c>
      <c r="AL92" s="128" t="e">
        <f t="shared" si="5"/>
        <v>#DIV/0!</v>
      </c>
      <c r="AM92" s="128" t="e">
        <f t="shared" si="6"/>
        <v>#DIV/0!</v>
      </c>
      <c r="AN92" s="129" t="e">
        <f t="shared" si="7"/>
        <v>#DIV/0!</v>
      </c>
      <c r="AP92" s="129">
        <f>(SupLL!G339+SupLL!G338)/2</f>
        <v>3.5</v>
      </c>
      <c r="AQ92" s="129">
        <f>(SupLL!H339+SupLL!H338)/2</f>
        <v>-5</v>
      </c>
    </row>
    <row r="93" spans="2:43" ht="20.25" hidden="1" thickBot="1">
      <c r="B93" s="210">
        <f t="shared" si="8"/>
        <v>0</v>
      </c>
      <c r="C93" s="211">
        <f t="shared" si="9"/>
        <v>0</v>
      </c>
      <c r="D93" s="115"/>
      <c r="E93" s="116"/>
      <c r="F93" s="130"/>
      <c r="I93" s="93"/>
      <c r="J93" s="137"/>
      <c r="K93" s="93"/>
      <c r="L93" s="139"/>
      <c r="O93" s="131" t="str">
        <f t="shared" si="10"/>
        <v/>
      </c>
      <c r="P93" s="132">
        <f t="shared" si="11"/>
        <v>0</v>
      </c>
      <c r="AB93" s="134"/>
      <c r="AD93" s="124">
        <f t="shared" si="1"/>
        <v>0</v>
      </c>
      <c r="AE93" s="104">
        <f t="shared" si="2"/>
        <v>0</v>
      </c>
      <c r="AF93" s="104" t="str">
        <f t="shared" si="3"/>
        <v>N</v>
      </c>
      <c r="AG93" s="125" t="str">
        <f t="shared" si="4"/>
        <v>ok</v>
      </c>
      <c r="AH93" s="127" t="str">
        <f t="shared" si="14"/>
        <v>TOWER</v>
      </c>
      <c r="AI93" s="53">
        <v>51</v>
      </c>
      <c r="AJ93" s="53">
        <f t="shared" si="13"/>
        <v>0</v>
      </c>
      <c r="AL93" s="128" t="e">
        <f t="shared" si="5"/>
        <v>#DIV/0!</v>
      </c>
      <c r="AM93" s="128" t="e">
        <f t="shared" si="6"/>
        <v>#DIV/0!</v>
      </c>
      <c r="AN93" s="129" t="e">
        <f t="shared" si="7"/>
        <v>#DIV/0!</v>
      </c>
      <c r="AP93" s="129">
        <f>(SupLL!G340+SupLL!G339)/2</f>
        <v>3.5</v>
      </c>
      <c r="AQ93" s="129">
        <f>(SupLL!H340+SupLL!H339)/2</f>
        <v>-5</v>
      </c>
    </row>
    <row r="94" spans="2:43" ht="19.5" hidden="1">
      <c r="B94" s="210">
        <f t="shared" si="8"/>
        <v>0</v>
      </c>
      <c r="C94" s="211">
        <f t="shared" si="9"/>
        <v>0</v>
      </c>
      <c r="D94" s="115"/>
      <c r="E94" s="116"/>
      <c r="F94" s="135"/>
      <c r="I94" s="93"/>
      <c r="J94" s="137"/>
      <c r="K94" s="93"/>
      <c r="L94" s="139"/>
      <c r="O94" s="131" t="str">
        <f t="shared" si="10"/>
        <v/>
      </c>
      <c r="P94" s="132">
        <f t="shared" si="11"/>
        <v>0</v>
      </c>
      <c r="AB94" s="134"/>
      <c r="AD94" s="124">
        <f t="shared" si="1"/>
        <v>0</v>
      </c>
      <c r="AE94" s="104">
        <f t="shared" si="2"/>
        <v>0</v>
      </c>
      <c r="AF94" s="104" t="str">
        <f t="shared" si="3"/>
        <v>N</v>
      </c>
      <c r="AG94" s="125" t="str">
        <f t="shared" si="4"/>
        <v>ok</v>
      </c>
      <c r="AH94" s="127" t="str">
        <f t="shared" si="14"/>
        <v>TOWER</v>
      </c>
      <c r="AI94" s="53">
        <v>52</v>
      </c>
      <c r="AJ94" s="53">
        <f t="shared" si="13"/>
        <v>0</v>
      </c>
      <c r="AL94" s="128" t="e">
        <f t="shared" si="5"/>
        <v>#DIV/0!</v>
      </c>
      <c r="AM94" s="128" t="e">
        <f t="shared" si="6"/>
        <v>#DIV/0!</v>
      </c>
      <c r="AN94" s="129" t="e">
        <f t="shared" si="7"/>
        <v>#DIV/0!</v>
      </c>
      <c r="AP94" s="129">
        <f>(SupLL!G341+SupLL!G340)/2</f>
        <v>3.5</v>
      </c>
      <c r="AQ94" s="129">
        <f>(SupLL!H341+SupLL!H340)/2</f>
        <v>-5</v>
      </c>
    </row>
    <row r="95" spans="2:43" ht="20.25" hidden="1" thickBot="1">
      <c r="B95" s="210">
        <f t="shared" si="8"/>
        <v>0</v>
      </c>
      <c r="C95" s="211">
        <f t="shared" si="9"/>
        <v>0</v>
      </c>
      <c r="D95" s="115"/>
      <c r="E95" s="116"/>
      <c r="F95" s="130"/>
      <c r="I95" s="93"/>
      <c r="J95" s="137"/>
      <c r="K95" s="93"/>
      <c r="L95" s="139"/>
      <c r="O95" s="131" t="str">
        <f t="shared" si="10"/>
        <v/>
      </c>
      <c r="P95" s="132">
        <f t="shared" si="11"/>
        <v>0</v>
      </c>
      <c r="AB95" s="134"/>
      <c r="AD95" s="124">
        <f t="shared" si="1"/>
        <v>0</v>
      </c>
      <c r="AE95" s="104">
        <f t="shared" si="2"/>
        <v>0</v>
      </c>
      <c r="AF95" s="104" t="str">
        <f t="shared" si="3"/>
        <v>N</v>
      </c>
      <c r="AG95" s="125" t="str">
        <f t="shared" si="4"/>
        <v>ok</v>
      </c>
      <c r="AH95" s="127" t="str">
        <f t="shared" si="14"/>
        <v>TOWER</v>
      </c>
      <c r="AI95" s="53">
        <v>53</v>
      </c>
      <c r="AJ95" s="53">
        <f t="shared" si="13"/>
        <v>0</v>
      </c>
      <c r="AL95" s="128" t="e">
        <f t="shared" si="5"/>
        <v>#DIV/0!</v>
      </c>
      <c r="AM95" s="128" t="e">
        <f t="shared" si="6"/>
        <v>#DIV/0!</v>
      </c>
      <c r="AN95" s="129" t="e">
        <f t="shared" si="7"/>
        <v>#DIV/0!</v>
      </c>
      <c r="AP95" s="129">
        <f>(SupLL!G342+SupLL!G341)/2</f>
        <v>3.5</v>
      </c>
      <c r="AQ95" s="129">
        <f>(SupLL!H342+SupLL!H341)/2</f>
        <v>-5</v>
      </c>
    </row>
    <row r="96" spans="2:43" ht="20.25" hidden="1" thickBot="1">
      <c r="B96" s="210">
        <f t="shared" si="8"/>
        <v>0</v>
      </c>
      <c r="C96" s="211">
        <f t="shared" si="9"/>
        <v>0</v>
      </c>
      <c r="D96" s="115"/>
      <c r="E96" s="116"/>
      <c r="F96" s="138"/>
      <c r="I96" s="93"/>
      <c r="J96" s="137"/>
      <c r="K96" s="93"/>
      <c r="L96" s="139"/>
      <c r="O96" s="140" t="str">
        <f t="shared" si="10"/>
        <v/>
      </c>
      <c r="P96" s="141">
        <f t="shared" si="11"/>
        <v>0</v>
      </c>
      <c r="AB96" s="134"/>
      <c r="AD96" s="104"/>
      <c r="AE96" s="104"/>
      <c r="AG96" s="125" t="str">
        <f t="shared" si="4"/>
        <v>ok</v>
      </c>
      <c r="AH96" s="127" t="str">
        <f t="shared" si="14"/>
        <v>TOWER</v>
      </c>
      <c r="AI96" s="53">
        <v>54</v>
      </c>
      <c r="AJ96" s="53">
        <f t="shared" si="13"/>
        <v>0</v>
      </c>
      <c r="AL96" s="128"/>
      <c r="AM96" s="128"/>
      <c r="AN96" s="129"/>
      <c r="AP96" s="129"/>
      <c r="AQ96" s="129"/>
    </row>
    <row r="97" spans="2:47" ht="15" customHeight="1">
      <c r="C97" s="21"/>
      <c r="D97" s="21"/>
      <c r="E97" s="21"/>
      <c r="F97" s="21"/>
      <c r="G97" s="21"/>
      <c r="H97" s="21"/>
      <c r="I97" s="93"/>
      <c r="J97" s="118"/>
      <c r="K97" s="93"/>
      <c r="L97" s="21"/>
      <c r="S97" s="41"/>
      <c r="Y97" s="40"/>
      <c r="AI97" s="53">
        <v>55</v>
      </c>
    </row>
    <row r="98" spans="2:47" ht="15" customHeight="1">
      <c r="C98" s="142"/>
      <c r="D98" s="21"/>
      <c r="E98" s="21"/>
      <c r="F98" s="21"/>
      <c r="G98" s="21"/>
      <c r="H98" s="21"/>
      <c r="I98" s="21"/>
      <c r="J98" s="21"/>
      <c r="K98" s="21"/>
      <c r="L98" s="21"/>
      <c r="S98" s="41"/>
      <c r="Y98" s="40"/>
    </row>
    <row r="99" spans="2:47" ht="15" customHeight="1">
      <c r="B99" s="647" t="s">
        <v>182</v>
      </c>
      <c r="C99" s="648"/>
      <c r="D99" s="212" t="s">
        <v>2</v>
      </c>
      <c r="E99" s="651">
        <f>MAX(E43:E96)</f>
        <v>12.5</v>
      </c>
      <c r="F99" s="652"/>
      <c r="G99" s="21"/>
      <c r="H99" s="21"/>
      <c r="I99" s="21"/>
      <c r="J99" s="21"/>
      <c r="K99" s="21"/>
      <c r="L99" s="21"/>
      <c r="R99" s="58" t="s">
        <v>183</v>
      </c>
      <c r="S99" s="299" t="str">
        <f>IF((IF(ProjSpan=MaxSpan,MaxDef,IF(ProjSpan=MinSpan,MinDef,_xlfn.FORECAST.LINEAR(ProjSpan,DefDB,SpanDB)+IF(AND(ProjSpan&gt;MinSpan,ProjSpan&lt;MaxSpan),0.1,0))))&gt;MaxDef,MaxDef,IF(ProjSpan=MaxSpan,MaxDef,IF(ProjSpan=MinSpan,MinDef,_xlfn.FORECAST.LINEAR(ProjSpan,DefDB,SpanDB)+IF(AND(ProjSpan&gt;MinSpan,ProjSpan&lt;MaxSpan),0.1,0))))</f>
        <v/>
      </c>
      <c r="T99" s="58" t="s">
        <v>157</v>
      </c>
      <c r="Y99" s="40"/>
    </row>
    <row r="100" spans="2:47" ht="15" customHeight="1">
      <c r="B100" s="647" t="s">
        <v>184</v>
      </c>
      <c r="C100" s="648"/>
      <c r="D100" s="143"/>
      <c r="E100" s="649" t="str">
        <f>VLOOKUP(MATCH(MAX(E43:E96),E43:E96,0),B43:C96,1,FALSE)&amp;" - "&amp;VLOOKUP(MATCH(MAX(E43:E96),E43:E96,0),B43:C96,2,FALSE)</f>
        <v>5 - 6</v>
      </c>
      <c r="F100" s="650"/>
      <c r="G100" s="21"/>
      <c r="H100" s="21"/>
      <c r="I100" s="21"/>
      <c r="J100" s="21"/>
      <c r="K100" s="21"/>
      <c r="L100" s="21"/>
      <c r="S100" s="41"/>
      <c r="Y100" s="40"/>
      <c r="AA100" s="144" t="s">
        <v>109</v>
      </c>
      <c r="AB100" s="145" t="s">
        <v>126</v>
      </c>
      <c r="AC100" s="145"/>
      <c r="AD100" s="145"/>
      <c r="AE100" s="145"/>
      <c r="AF100" s="145"/>
      <c r="AG100" s="145"/>
      <c r="AH100" s="145"/>
      <c r="AI100" s="145"/>
      <c r="AJ100" s="145"/>
      <c r="AK100" s="145"/>
      <c r="AL100" s="145"/>
    </row>
    <row r="101" spans="2:47" ht="15" customHeight="1">
      <c r="D101" s="21"/>
      <c r="E101" s="21"/>
      <c r="F101" s="21"/>
      <c r="G101" s="21"/>
      <c r="H101" s="21"/>
      <c r="I101" s="21"/>
      <c r="J101" s="21"/>
      <c r="K101" s="21"/>
      <c r="L101" s="21"/>
      <c r="O101" s="58" t="s">
        <v>171</v>
      </c>
      <c r="P101" s="297">
        <f>+TotLung</f>
        <v>0</v>
      </c>
      <c r="Q101" s="58" t="s">
        <v>157</v>
      </c>
      <c r="R101" s="58" t="s">
        <v>185</v>
      </c>
      <c r="S101" s="302">
        <v>109000</v>
      </c>
      <c r="T101" s="58" t="s">
        <v>186</v>
      </c>
      <c r="Y101" s="40"/>
      <c r="AA101" s="146" t="s">
        <v>115</v>
      </c>
      <c r="AB101" s="145" t="s">
        <v>126</v>
      </c>
      <c r="AC101" s="145"/>
      <c r="AD101" s="145"/>
      <c r="AE101" s="145"/>
      <c r="AF101" s="145"/>
      <c r="AG101" s="145"/>
      <c r="AH101" s="145"/>
      <c r="AI101" s="145"/>
      <c r="AJ101" s="145"/>
      <c r="AK101" s="145"/>
      <c r="AL101" s="145"/>
    </row>
    <row r="102" spans="2:47" ht="20.100000000000001" customHeight="1">
      <c r="O102" s="58" t="s">
        <v>187</v>
      </c>
      <c r="P102" s="40">
        <f>PI()*4^2</f>
        <v>50.26548245743669</v>
      </c>
      <c r="Q102" s="58" t="s">
        <v>188</v>
      </c>
      <c r="S102" s="41"/>
      <c r="U102" s="148"/>
      <c r="V102" s="148"/>
      <c r="W102" s="148"/>
      <c r="X102" s="148"/>
      <c r="Y102" s="40"/>
      <c r="AA102" s="146" t="s">
        <v>120</v>
      </c>
      <c r="AB102" s="145" t="s">
        <v>126</v>
      </c>
      <c r="AC102" s="145"/>
      <c r="AD102" s="145"/>
      <c r="AE102" s="145"/>
      <c r="AF102" s="145"/>
      <c r="AG102" s="145"/>
      <c r="AH102" s="145"/>
      <c r="AI102" s="145"/>
      <c r="AJ102" s="145"/>
      <c r="AK102" s="145"/>
      <c r="AL102" s="145"/>
    </row>
    <row r="103" spans="2:47" ht="20.100000000000001" customHeight="1">
      <c r="B103" s="640" t="s">
        <v>189</v>
      </c>
      <c r="C103" s="640"/>
      <c r="D103" s="640"/>
      <c r="E103" s="640"/>
      <c r="F103" s="640"/>
      <c r="G103" s="640"/>
      <c r="H103" s="640"/>
      <c r="I103" s="640"/>
      <c r="J103" s="640"/>
      <c r="K103" s="640"/>
      <c r="L103" s="640"/>
      <c r="N103" s="148"/>
      <c r="O103" s="213" t="s">
        <v>190</v>
      </c>
      <c r="P103" s="296" t="str">
        <f>+Calculator!G111</f>
        <v/>
      </c>
      <c r="Q103" s="213" t="s">
        <v>149</v>
      </c>
      <c r="R103" s="213" t="s">
        <v>4</v>
      </c>
      <c r="S103" s="300" t="e">
        <f>(P103*1000*P101*1000)/(P102*S101)</f>
        <v>#VALUE!</v>
      </c>
      <c r="T103" s="58" t="s">
        <v>139</v>
      </c>
      <c r="U103" s="148" t="s">
        <v>191</v>
      </c>
      <c r="V103" s="148"/>
      <c r="W103" s="148" t="s">
        <v>192</v>
      </c>
      <c r="X103" s="148"/>
      <c r="Y103" s="40"/>
      <c r="AA103" s="144" t="s">
        <v>126</v>
      </c>
      <c r="AB103" s="145" t="s">
        <v>126</v>
      </c>
      <c r="AC103" s="145"/>
      <c r="AD103" s="145"/>
      <c r="AE103" s="145"/>
      <c r="AF103" s="145"/>
      <c r="AG103" s="145"/>
      <c r="AH103" s="145"/>
      <c r="AI103" s="145"/>
      <c r="AJ103" s="145"/>
      <c r="AK103" s="145"/>
      <c r="AL103" s="145"/>
      <c r="AN103" s="149"/>
      <c r="AO103" s="149"/>
      <c r="AP103" s="149"/>
      <c r="AQ103" s="149"/>
      <c r="AR103" s="149"/>
      <c r="AS103" s="149"/>
      <c r="AT103" s="149"/>
      <c r="AU103" s="149"/>
    </row>
    <row r="104" spans="2:47" ht="20.100000000000001" customHeight="1">
      <c r="B104" s="640" t="s">
        <v>20</v>
      </c>
      <c r="C104" s="640"/>
      <c r="D104" s="641" t="s">
        <v>193</v>
      </c>
      <c r="E104" s="641"/>
      <c r="F104" s="641"/>
      <c r="G104" s="642" t="s">
        <v>194</v>
      </c>
      <c r="H104" s="642"/>
      <c r="I104" s="642"/>
      <c r="J104" s="641" t="s">
        <v>195</v>
      </c>
      <c r="K104" s="641"/>
      <c r="L104" s="641"/>
      <c r="N104" s="148"/>
      <c r="O104" s="148"/>
      <c r="P104" s="148"/>
      <c r="Q104" s="148"/>
      <c r="R104" s="213" t="s">
        <v>7</v>
      </c>
      <c r="S104" s="300" t="e">
        <f>S103*SIN(RADIANS(P105))</f>
        <v>#VALUE!</v>
      </c>
      <c r="T104" s="58" t="s">
        <v>139</v>
      </c>
      <c r="U104" s="148" t="s">
        <v>196</v>
      </c>
      <c r="V104" s="148" t="s">
        <v>197</v>
      </c>
      <c r="W104" s="148" t="s">
        <v>198</v>
      </c>
      <c r="X104" s="148"/>
      <c r="AA104" s="144" t="s">
        <v>129</v>
      </c>
      <c r="AB104" s="145" t="s">
        <v>199</v>
      </c>
      <c r="AC104" s="145"/>
      <c r="AD104" s="145"/>
      <c r="AE104" s="145"/>
      <c r="AF104" s="145"/>
      <c r="AG104" s="145"/>
      <c r="AH104" s="145"/>
      <c r="AI104" s="145"/>
      <c r="AJ104" s="145"/>
      <c r="AK104" s="145"/>
      <c r="AL104" s="145"/>
      <c r="AN104" s="149"/>
      <c r="AO104" s="149" t="s">
        <v>200</v>
      </c>
      <c r="AP104" s="149" t="s">
        <v>201</v>
      </c>
      <c r="AQ104" s="149"/>
      <c r="AR104" s="149"/>
      <c r="AS104" s="149"/>
      <c r="AT104" s="149"/>
      <c r="AU104" s="149"/>
    </row>
    <row r="105" spans="2:47" ht="20.100000000000001" customHeight="1">
      <c r="B105" s="640"/>
      <c r="C105" s="640"/>
      <c r="D105" s="157" t="s">
        <v>21</v>
      </c>
      <c r="E105" s="157" t="s">
        <v>22</v>
      </c>
      <c r="F105" s="157" t="s">
        <v>202</v>
      </c>
      <c r="G105" s="256" t="s">
        <v>21</v>
      </c>
      <c r="H105" s="256" t="s">
        <v>22</v>
      </c>
      <c r="I105" s="256" t="s">
        <v>202</v>
      </c>
      <c r="J105" s="157" t="s">
        <v>21</v>
      </c>
      <c r="K105" s="157" t="s">
        <v>22</v>
      </c>
      <c r="L105" s="157" t="s">
        <v>202</v>
      </c>
      <c r="N105" s="148"/>
      <c r="O105" s="148" t="s">
        <v>203</v>
      </c>
      <c r="P105" s="298" t="e">
        <f>DEGREES(ATAN((2*S99)/ProjSpan))</f>
        <v>#VALUE!</v>
      </c>
      <c r="Q105" s="148"/>
      <c r="R105" s="148"/>
      <c r="S105" s="41"/>
      <c r="U105" s="148">
        <v>15</v>
      </c>
      <c r="V105" s="148">
        <v>16.5</v>
      </c>
      <c r="W105" s="148">
        <v>3.26</v>
      </c>
      <c r="X105" s="148"/>
      <c r="Y105" s="40"/>
      <c r="AA105" s="144" t="s">
        <v>135</v>
      </c>
      <c r="AB105" s="145" t="s">
        <v>199</v>
      </c>
      <c r="AC105" s="145"/>
      <c r="AD105" s="145"/>
      <c r="AE105" s="145"/>
      <c r="AF105" s="145"/>
      <c r="AG105" s="145"/>
      <c r="AH105" s="145"/>
      <c r="AI105" s="145"/>
      <c r="AJ105" s="145"/>
      <c r="AK105" s="145"/>
      <c r="AL105" s="145"/>
      <c r="AN105" s="149"/>
      <c r="AO105" s="149"/>
      <c r="AP105" s="149">
        <v>2</v>
      </c>
      <c r="AQ105" s="149">
        <v>6</v>
      </c>
      <c r="AR105" s="149">
        <v>8</v>
      </c>
      <c r="AS105" s="149">
        <v>10</v>
      </c>
      <c r="AT105" s="149">
        <v>12</v>
      </c>
      <c r="AU105" s="149">
        <v>15</v>
      </c>
    </row>
    <row r="106" spans="2:47" ht="20.100000000000001" customHeight="1">
      <c r="B106" s="215" t="s">
        <v>204</v>
      </c>
      <c r="C106" s="215"/>
      <c r="D106" s="216" t="e">
        <f>P107</f>
        <v>#VALUE!</v>
      </c>
      <c r="E106" s="216" t="e">
        <f>P106</f>
        <v>#VALUE!</v>
      </c>
      <c r="F106" s="216" t="e">
        <f>_xlfn.FORECAST.LINEAR(E99,F23:F24,D23:D24)</f>
        <v>#DIV/0!</v>
      </c>
      <c r="G106" s="257" t="e">
        <f>P107</f>
        <v>#VALUE!</v>
      </c>
      <c r="H106" s="257" t="e">
        <f>P106</f>
        <v>#VALUE!</v>
      </c>
      <c r="I106" s="257" t="e">
        <f>_xlfn.FORECAST.LINEAR(E99,F23:F24,D23:D24)</f>
        <v>#DIV/0!</v>
      </c>
      <c r="J106" s="635" t="e">
        <f>VLOOKUP(BH348,BH290:BJ344,2,FALSE)</f>
        <v>#DIV/0!</v>
      </c>
      <c r="K106" s="635" t="e">
        <f>VLOOKUP(BH348,BH290:BJ344,3,FALSE)</f>
        <v>#DIV/0!</v>
      </c>
      <c r="L106" s="635" t="e">
        <f>BH348</f>
        <v>#DIV/0!</v>
      </c>
      <c r="N106" s="148"/>
      <c r="O106" s="148" t="s">
        <v>205</v>
      </c>
      <c r="P106" s="301" t="e">
        <f>P103*SIN(RADIANS(P105))</f>
        <v>#VALUE!</v>
      </c>
      <c r="Q106" s="148"/>
      <c r="R106" s="148"/>
      <c r="S106" s="41" t="e">
        <f>+ROUND(S103/1000,2)</f>
        <v>#VALUE!</v>
      </c>
      <c r="U106" s="148">
        <v>2</v>
      </c>
      <c r="V106" s="148">
        <v>8.1999999999999993</v>
      </c>
      <c r="W106" s="148">
        <v>1.26</v>
      </c>
      <c r="X106" s="148"/>
      <c r="Y106" s="40"/>
      <c r="AA106" s="144" t="s">
        <v>137</v>
      </c>
      <c r="AB106" s="145" t="s">
        <v>199</v>
      </c>
      <c r="AC106" s="145"/>
      <c r="AD106" s="145"/>
      <c r="AE106" s="145"/>
      <c r="AF106" s="145"/>
      <c r="AG106" s="145"/>
      <c r="AH106" s="145"/>
      <c r="AI106" s="145"/>
      <c r="AJ106" s="145"/>
      <c r="AK106" s="145"/>
      <c r="AL106" s="145"/>
      <c r="AN106" s="149" t="s">
        <v>206</v>
      </c>
      <c r="AO106" s="149">
        <v>300</v>
      </c>
      <c r="AP106" s="149">
        <v>1.26</v>
      </c>
      <c r="AQ106" s="149">
        <v>1.55</v>
      </c>
      <c r="AR106" s="149">
        <v>1.77</v>
      </c>
      <c r="AS106" s="149">
        <v>1.97</v>
      </c>
      <c r="AT106" s="149">
        <v>2.15</v>
      </c>
      <c r="AU106" s="149">
        <v>2.4</v>
      </c>
    </row>
    <row r="107" spans="2:47" ht="20.100000000000001" customHeight="1">
      <c r="B107" s="215" t="s">
        <v>207</v>
      </c>
      <c r="C107" s="215"/>
      <c r="D107" s="216">
        <v>0</v>
      </c>
      <c r="E107" s="216">
        <v>0</v>
      </c>
      <c r="F107" s="216">
        <v>0</v>
      </c>
      <c r="G107" s="257" t="e">
        <f>_xlfn.FORECAST.LINEAR(E99,F23:F24,D23:D24)</f>
        <v>#DIV/0!</v>
      </c>
      <c r="H107" s="257">
        <v>0</v>
      </c>
      <c r="I107" s="257" t="e">
        <f>G107</f>
        <v>#DIV/0!</v>
      </c>
      <c r="J107" s="635"/>
      <c r="K107" s="635"/>
      <c r="L107" s="635"/>
      <c r="N107" s="148"/>
      <c r="O107" s="148" t="s">
        <v>208</v>
      </c>
      <c r="P107" s="301" t="e">
        <f>P103*COS(RADIANS(P105))</f>
        <v>#VALUE!</v>
      </c>
      <c r="Q107" s="148"/>
      <c r="R107" s="148"/>
      <c r="S107" s="41"/>
      <c r="U107" s="148" t="s">
        <v>209</v>
      </c>
      <c r="V107" s="148"/>
      <c r="W107" s="148" t="s">
        <v>210</v>
      </c>
      <c r="X107" s="148"/>
      <c r="Y107" s="40"/>
      <c r="AA107" s="145" t="s">
        <v>140</v>
      </c>
      <c r="AB107" s="145" t="s">
        <v>211</v>
      </c>
      <c r="AC107" s="145"/>
      <c r="AD107" s="145"/>
      <c r="AE107" s="145"/>
      <c r="AF107" s="145"/>
      <c r="AG107" s="145"/>
      <c r="AH107" s="145"/>
      <c r="AI107" s="145"/>
      <c r="AJ107" s="145"/>
      <c r="AK107" s="145"/>
      <c r="AL107" s="145"/>
      <c r="AN107" s="149" t="s">
        <v>212</v>
      </c>
      <c r="AO107" s="149">
        <v>400</v>
      </c>
      <c r="AP107" s="149"/>
      <c r="AQ107" s="149"/>
      <c r="AR107" s="149"/>
      <c r="AS107" s="149"/>
      <c r="AT107" s="149"/>
      <c r="AU107" s="149"/>
    </row>
    <row r="108" spans="2:47" ht="20.100000000000001" customHeight="1">
      <c r="B108" s="217"/>
      <c r="C108" s="217"/>
      <c r="D108" s="118"/>
      <c r="E108" s="118"/>
      <c r="F108" s="118"/>
      <c r="G108" s="218"/>
      <c r="H108" s="218"/>
      <c r="I108" s="218"/>
      <c r="J108" s="218"/>
      <c r="K108" s="218"/>
      <c r="L108" s="218"/>
      <c r="M108" s="66"/>
      <c r="N108" s="148"/>
      <c r="O108" s="148"/>
      <c r="P108" s="148"/>
      <c r="Q108" s="148"/>
      <c r="R108" s="148"/>
      <c r="S108" s="41"/>
      <c r="U108" s="148" t="s">
        <v>196</v>
      </c>
      <c r="V108" s="148" t="s">
        <v>197</v>
      </c>
      <c r="W108" s="148" t="s">
        <v>198</v>
      </c>
      <c r="X108" s="148"/>
      <c r="Y108" s="40"/>
      <c r="AA108" s="145"/>
      <c r="AB108" s="145"/>
      <c r="AC108" s="145"/>
      <c r="AD108" s="145"/>
      <c r="AE108" s="145"/>
      <c r="AF108" s="145"/>
      <c r="AG108" s="145"/>
      <c r="AH108" s="145"/>
      <c r="AI108" s="145"/>
      <c r="AJ108" s="145"/>
      <c r="AK108" s="145"/>
      <c r="AL108" s="145"/>
      <c r="AN108" s="149" t="s">
        <v>213</v>
      </c>
      <c r="AO108" s="149">
        <v>500</v>
      </c>
      <c r="AP108" s="149"/>
      <c r="AQ108" s="149"/>
      <c r="AR108" s="149"/>
      <c r="AS108" s="149"/>
      <c r="AT108" s="149"/>
      <c r="AU108" s="149"/>
    </row>
    <row r="109" spans="2:47" ht="20.100000000000001" customHeight="1">
      <c r="N109" s="148"/>
      <c r="O109" s="148"/>
      <c r="P109" s="148"/>
      <c r="Q109" s="148"/>
      <c r="R109" s="148"/>
      <c r="S109" s="41"/>
      <c r="U109" s="148">
        <v>7.5</v>
      </c>
      <c r="V109" s="148">
        <v>17.100000000000001</v>
      </c>
      <c r="W109" s="148">
        <v>1.44</v>
      </c>
      <c r="X109" s="148"/>
      <c r="Y109" s="40"/>
      <c r="AA109" s="151" t="s">
        <v>95</v>
      </c>
      <c r="AB109" s="145"/>
      <c r="AC109" s="145"/>
      <c r="AD109" s="145"/>
      <c r="AE109" s="145"/>
      <c r="AF109" s="145"/>
      <c r="AG109" s="151" t="s">
        <v>214</v>
      </c>
      <c r="AH109" s="145"/>
      <c r="AI109" s="145"/>
      <c r="AJ109" s="145"/>
      <c r="AK109" s="145"/>
      <c r="AL109" s="145"/>
      <c r="AN109" s="149" t="s">
        <v>215</v>
      </c>
      <c r="AO109" s="149">
        <v>600</v>
      </c>
      <c r="AP109" s="149">
        <v>1.33</v>
      </c>
      <c r="AQ109" s="149">
        <v>2.1</v>
      </c>
      <c r="AR109" s="149">
        <v>2.4</v>
      </c>
      <c r="AS109" s="149">
        <v>2.66</v>
      </c>
      <c r="AT109" s="149">
        <v>2.9</v>
      </c>
      <c r="AU109" s="149">
        <v>3.26</v>
      </c>
    </row>
    <row r="110" spans="2:47" ht="20.100000000000001" customHeight="1" thickBot="1">
      <c r="N110" s="148"/>
      <c r="O110" s="148"/>
      <c r="P110" s="148" t="s">
        <v>204</v>
      </c>
      <c r="Q110" s="148"/>
      <c r="R110" s="148"/>
      <c r="S110" s="41"/>
      <c r="U110" s="148">
        <v>2</v>
      </c>
      <c r="V110" s="148">
        <v>12.5</v>
      </c>
      <c r="W110" s="148">
        <v>0.62</v>
      </c>
      <c r="X110" s="148"/>
      <c r="Y110" s="40"/>
      <c r="AA110" s="145"/>
      <c r="AB110" s="145" t="s">
        <v>196</v>
      </c>
      <c r="AC110" s="145" t="s">
        <v>197</v>
      </c>
      <c r="AD110" s="145" t="s">
        <v>198</v>
      </c>
      <c r="AE110" s="145" t="s">
        <v>216</v>
      </c>
      <c r="AF110" s="145"/>
      <c r="AG110" s="145"/>
      <c r="AH110" s="145" t="s">
        <v>196</v>
      </c>
      <c r="AI110" s="145" t="s">
        <v>197</v>
      </c>
      <c r="AJ110" s="145" t="s">
        <v>198</v>
      </c>
      <c r="AK110" s="145" t="s">
        <v>216</v>
      </c>
      <c r="AL110" s="145"/>
      <c r="AN110" s="149"/>
      <c r="AO110" s="149"/>
      <c r="AP110" s="149"/>
      <c r="AQ110" s="149"/>
      <c r="AR110" s="149"/>
      <c r="AS110" s="149"/>
      <c r="AT110" s="149"/>
      <c r="AU110" s="149"/>
    </row>
    <row r="111" spans="2:47" ht="20.100000000000001" customHeight="1" thickBot="1">
      <c r="B111" s="636" t="s">
        <v>217</v>
      </c>
      <c r="C111" s="637"/>
      <c r="D111" s="637"/>
      <c r="E111" s="219" t="s">
        <v>3</v>
      </c>
      <c r="F111" s="638" t="e">
        <f>MAX(F106:F107,I106:I107,L106)</f>
        <v>#DIV/0!</v>
      </c>
      <c r="G111" s="639"/>
      <c r="N111" s="148"/>
      <c r="O111" s="148"/>
      <c r="P111" s="148" t="s">
        <v>218</v>
      </c>
      <c r="Q111" s="148"/>
      <c r="R111" s="148"/>
      <c r="S111" s="41"/>
      <c r="U111" s="148" t="s">
        <v>219</v>
      </c>
      <c r="V111" s="148"/>
      <c r="W111" s="148" t="s">
        <v>192</v>
      </c>
      <c r="X111" s="148"/>
      <c r="Y111" s="40"/>
      <c r="AA111" s="145" t="s">
        <v>126</v>
      </c>
      <c r="AB111" s="145">
        <v>15</v>
      </c>
      <c r="AC111" s="145">
        <v>16.5</v>
      </c>
      <c r="AD111" s="145">
        <v>3.26</v>
      </c>
      <c r="AE111" s="145">
        <v>4</v>
      </c>
      <c r="AF111" s="145"/>
      <c r="AG111" s="145" t="s">
        <v>126</v>
      </c>
      <c r="AH111" s="145">
        <f>U106</f>
        <v>2</v>
      </c>
      <c r="AI111" s="145">
        <f>V106</f>
        <v>8.1999999999999993</v>
      </c>
      <c r="AJ111" s="145">
        <f>W106</f>
        <v>1.26</v>
      </c>
      <c r="AK111" s="145">
        <v>4</v>
      </c>
      <c r="AL111" s="145"/>
      <c r="AN111" s="149"/>
      <c r="AO111" s="149"/>
      <c r="AP111" s="149"/>
      <c r="AQ111" s="152">
        <v>6</v>
      </c>
      <c r="AR111" s="152">
        <v>8</v>
      </c>
      <c r="AS111" s="152">
        <v>10</v>
      </c>
      <c r="AT111" s="152">
        <v>12</v>
      </c>
      <c r="AU111" s="149"/>
    </row>
    <row r="112" spans="2:47" ht="20.100000000000001" customHeight="1">
      <c r="N112" s="148"/>
      <c r="O112" s="148"/>
      <c r="P112" s="148" t="s">
        <v>220</v>
      </c>
      <c r="Q112" s="148"/>
      <c r="R112" s="148"/>
      <c r="S112" s="41"/>
      <c r="U112" s="148" t="s">
        <v>196</v>
      </c>
      <c r="V112" s="148" t="s">
        <v>197</v>
      </c>
      <c r="W112" s="148" t="s">
        <v>198</v>
      </c>
      <c r="X112" s="148"/>
      <c r="Y112" s="40"/>
      <c r="AA112" s="145" t="s">
        <v>211</v>
      </c>
      <c r="AB112" s="145">
        <v>7.5</v>
      </c>
      <c r="AC112" s="145">
        <v>17.100000000000001</v>
      </c>
      <c r="AD112" s="145">
        <v>1.44</v>
      </c>
      <c r="AE112" s="145">
        <v>2</v>
      </c>
      <c r="AF112" s="145"/>
      <c r="AG112" s="145" t="s">
        <v>211</v>
      </c>
      <c r="AH112" s="145">
        <f>U110</f>
        <v>2</v>
      </c>
      <c r="AI112" s="145">
        <f>V110</f>
        <v>12.5</v>
      </c>
      <c r="AJ112" s="145">
        <f>W110</f>
        <v>0.62</v>
      </c>
      <c r="AK112" s="145">
        <v>2</v>
      </c>
      <c r="AL112" s="145"/>
      <c r="AN112" s="149">
        <v>2</v>
      </c>
      <c r="AO112" s="149">
        <v>1.26</v>
      </c>
      <c r="AP112" s="149"/>
      <c r="AQ112" s="149">
        <f>_xlfn.FORECAST.LINEAR(AQ111,$AO$112:$AO$113,$AN$112:$AN$113)</f>
        <v>1.610769230769231</v>
      </c>
      <c r="AR112" s="149">
        <f>_xlfn.FORECAST.LINEAR(AR111,$AO$112:$AO$113,$AN$112:$AN$113)</f>
        <v>1.7861538461538462</v>
      </c>
      <c r="AS112" s="149">
        <f>_xlfn.FORECAST.LINEAR(AS111,$AO$112:$AO$113,$AN$112:$AN$113)</f>
        <v>1.9615384615384617</v>
      </c>
      <c r="AT112" s="149">
        <f>_xlfn.FORECAST.LINEAR(AT111,$AO$112:$AO$113,$AN$112:$AN$113)</f>
        <v>2.1369230769230771</v>
      </c>
      <c r="AU112" s="149"/>
    </row>
    <row r="113" spans="2:47" ht="20.100000000000001" customHeight="1">
      <c r="B113" s="623" t="s">
        <v>221</v>
      </c>
      <c r="C113" s="624"/>
      <c r="D113" s="624"/>
      <c r="E113" s="625"/>
      <c r="F113" s="147"/>
      <c r="G113" s="147"/>
      <c r="N113" s="148"/>
      <c r="O113" s="148"/>
      <c r="P113" s="148"/>
      <c r="Q113" s="148"/>
      <c r="R113" s="148"/>
      <c r="S113" s="41"/>
      <c r="U113" s="148">
        <v>7.5</v>
      </c>
      <c r="V113" s="148">
        <v>18.100000000000001</v>
      </c>
      <c r="W113" s="148">
        <v>1.3</v>
      </c>
      <c r="X113" s="153"/>
      <c r="Y113" s="43"/>
      <c r="Z113" s="43"/>
      <c r="AA113" s="145" t="s">
        <v>199</v>
      </c>
      <c r="AB113" s="145">
        <v>7.5</v>
      </c>
      <c r="AC113" s="145">
        <v>18.100000000000001</v>
      </c>
      <c r="AD113" s="145">
        <v>1.3</v>
      </c>
      <c r="AE113" s="145">
        <v>4</v>
      </c>
      <c r="AF113" s="145"/>
      <c r="AG113" s="145" t="s">
        <v>199</v>
      </c>
      <c r="AH113" s="145">
        <f>U114</f>
        <v>2</v>
      </c>
      <c r="AI113" s="145">
        <f>V114</f>
        <v>14.2</v>
      </c>
      <c r="AJ113" s="145">
        <f>W114</f>
        <v>0.55000000000000004</v>
      </c>
      <c r="AK113" s="145">
        <v>4</v>
      </c>
      <c r="AL113" s="145"/>
      <c r="AN113" s="149">
        <v>15</v>
      </c>
      <c r="AO113" s="149">
        <v>2.4</v>
      </c>
      <c r="AP113" s="149"/>
      <c r="AQ113" s="149">
        <f>AQ112-AQ106</f>
        <v>6.0769230769230909E-2</v>
      </c>
      <c r="AR113" s="149">
        <f>AR112-AR106</f>
        <v>1.6153846153846185E-2</v>
      </c>
      <c r="AS113" s="149">
        <f>AS112-AS106</f>
        <v>-8.4615384615382983E-3</v>
      </c>
      <c r="AT113" s="149">
        <f>AT112-AT106</f>
        <v>-1.3076923076922764E-2</v>
      </c>
      <c r="AU113" s="149"/>
    </row>
    <row r="114" spans="2:47" s="83" customFormat="1" ht="15" customHeight="1" thickBot="1">
      <c r="B114" s="626" t="s">
        <v>8</v>
      </c>
      <c r="C114" s="627"/>
      <c r="D114" s="628" t="s">
        <v>222</v>
      </c>
      <c r="E114" s="629"/>
      <c r="F114" s="630" t="e">
        <f>S106&amp;" m for rope elongation already considered"</f>
        <v>#VALUE!</v>
      </c>
      <c r="G114" s="630"/>
      <c r="H114" s="66"/>
      <c r="I114" s="21"/>
      <c r="J114" s="21"/>
      <c r="L114" s="21"/>
      <c r="M114" s="21"/>
      <c r="N114" s="43"/>
      <c r="O114" s="43"/>
      <c r="P114" s="43"/>
      <c r="Q114" s="43"/>
      <c r="R114" s="43"/>
      <c r="S114" s="155"/>
      <c r="T114" s="43"/>
      <c r="U114" s="148">
        <v>2</v>
      </c>
      <c r="V114" s="148">
        <v>14.2</v>
      </c>
      <c r="W114" s="148">
        <v>0.55000000000000004</v>
      </c>
      <c r="X114" s="148"/>
      <c r="Y114" s="40"/>
      <c r="Z114" s="40"/>
      <c r="AA114" s="145"/>
      <c r="AB114" s="145"/>
      <c r="AC114" s="145"/>
      <c r="AD114" s="145"/>
      <c r="AE114" s="145"/>
      <c r="AF114" s="156"/>
      <c r="AG114" s="145"/>
      <c r="AH114" s="145"/>
      <c r="AI114" s="145"/>
      <c r="AJ114" s="145"/>
      <c r="AK114" s="145"/>
      <c r="AL114" s="156"/>
      <c r="AM114" s="43"/>
      <c r="AN114" s="152"/>
      <c r="AO114" s="152"/>
      <c r="AP114" s="152"/>
      <c r="AQ114" s="152">
        <v>6</v>
      </c>
      <c r="AR114" s="152">
        <v>8</v>
      </c>
      <c r="AS114" s="152">
        <v>10</v>
      </c>
      <c r="AT114" s="152">
        <v>12</v>
      </c>
      <c r="AU114" s="152"/>
    </row>
    <row r="115" spans="2:47" ht="20.100000000000001" customHeight="1" thickBot="1">
      <c r="B115" s="631" t="str">
        <f>VLOOKUP(MATCH(MAX(E43:E96),E43:E96,0),B43:C96,1,FALSE)&amp;" - "&amp;VLOOKUP(MATCH(MAX(E43:E96),E43:E96,0),B43:C96,2,FALSE)</f>
        <v>5 - 6</v>
      </c>
      <c r="C115" s="632"/>
      <c r="D115" s="633" t="str">
        <f>IF(E36&lt;=D23,S99,S99+S104/1000)</f>
        <v/>
      </c>
      <c r="E115" s="634"/>
      <c r="F115" s="630"/>
      <c r="G115" s="630"/>
      <c r="H115" s="61"/>
      <c r="I115" s="21"/>
      <c r="J115" s="220"/>
      <c r="K115" s="21"/>
      <c r="L115" s="21"/>
      <c r="S115" s="41"/>
      <c r="Y115" s="40"/>
      <c r="AA115" s="156"/>
      <c r="AB115" s="145"/>
      <c r="AC115" s="145"/>
      <c r="AD115" s="145"/>
      <c r="AE115" s="145"/>
      <c r="AF115" s="145"/>
      <c r="AG115" s="156"/>
      <c r="AH115" s="145"/>
      <c r="AI115" s="145"/>
      <c r="AJ115" s="145"/>
      <c r="AK115" s="145"/>
      <c r="AL115" s="145"/>
      <c r="AN115" s="149">
        <v>2</v>
      </c>
      <c r="AO115" s="149">
        <v>1.33</v>
      </c>
      <c r="AP115" s="149"/>
      <c r="AQ115" s="149">
        <f>_xlfn.FORECAST.LINEAR(AQ114,$AO$115:$AO$118,$AN$115:$AN$118)</f>
        <v>1.9238461538461538</v>
      </c>
      <c r="AR115" s="149">
        <f>_xlfn.FORECAST.LINEAR(AR114,$AO$115:$AO$118,$AN$115:$AN$118)</f>
        <v>2.2207692307692306</v>
      </c>
      <c r="AS115" s="149">
        <f>_xlfn.FORECAST.LINEAR(AS114,$AO$115:$AO$118,$AN$115:$AN$118)</f>
        <v>2.5176923076923075</v>
      </c>
      <c r="AT115" s="149">
        <f>_xlfn.FORECAST.LINEAR(AT114,$AO$115:$AO$118,$AN$115:$AN$118)</f>
        <v>2.8146153846153847</v>
      </c>
      <c r="AU115" s="149"/>
    </row>
    <row r="116" spans="2:47" ht="20.100000000000001" customHeight="1">
      <c r="H116" s="61"/>
      <c r="I116" s="21"/>
      <c r="J116" s="21"/>
      <c r="K116" s="21"/>
      <c r="L116" s="21"/>
      <c r="S116" s="41"/>
      <c r="Y116" s="40"/>
      <c r="AA116" s="156"/>
      <c r="AB116" s="145"/>
      <c r="AC116" s="145"/>
      <c r="AD116" s="145"/>
      <c r="AE116" s="145"/>
      <c r="AF116" s="145"/>
      <c r="AG116" s="156"/>
      <c r="AH116" s="145"/>
      <c r="AI116" s="145"/>
      <c r="AJ116" s="145"/>
      <c r="AK116" s="145"/>
      <c r="AL116" s="145"/>
      <c r="AN116" s="149"/>
      <c r="AO116" s="149"/>
      <c r="AP116" s="149"/>
      <c r="AQ116" s="149"/>
      <c r="AR116" s="149"/>
      <c r="AS116" s="149"/>
      <c r="AT116" s="149"/>
      <c r="AU116" s="149"/>
    </row>
    <row r="117" spans="2:47" ht="32.1" customHeight="1">
      <c r="H117" s="61"/>
      <c r="I117" s="21"/>
      <c r="J117" s="21"/>
      <c r="L117" s="21"/>
      <c r="S117" s="41"/>
      <c r="Y117" s="40"/>
      <c r="AA117" s="156"/>
      <c r="AB117" s="145"/>
      <c r="AC117" s="145"/>
      <c r="AD117" s="145"/>
      <c r="AE117" s="158"/>
      <c r="AF117" s="158" t="s">
        <v>223</v>
      </c>
      <c r="AG117" s="159"/>
      <c r="AH117" s="158"/>
      <c r="AI117" s="145"/>
      <c r="AJ117" s="145"/>
      <c r="AK117" s="145"/>
      <c r="AL117" s="145"/>
      <c r="AN117" s="149"/>
      <c r="AO117" s="149"/>
      <c r="AP117" s="149"/>
      <c r="AQ117" s="149"/>
      <c r="AR117" s="149"/>
      <c r="AS117" s="149"/>
      <c r="AT117" s="149"/>
      <c r="AU117" s="149"/>
    </row>
    <row r="118" spans="2:47" ht="20.100000000000001" customHeight="1">
      <c r="H118" s="66"/>
      <c r="I118" s="21"/>
      <c r="J118" s="21"/>
      <c r="K118" s="21"/>
      <c r="L118" s="21"/>
      <c r="S118" s="41"/>
      <c r="U118" s="148"/>
      <c r="V118" s="148"/>
      <c r="W118" s="148"/>
      <c r="X118" s="148"/>
      <c r="Y118" s="40"/>
      <c r="AA118" s="145"/>
      <c r="AB118" s="145"/>
      <c r="AC118" s="145"/>
      <c r="AD118" s="145"/>
      <c r="AE118" s="145"/>
      <c r="AF118" s="145"/>
      <c r="AG118" s="145"/>
      <c r="AH118" s="145"/>
      <c r="AI118" s="145"/>
      <c r="AJ118" s="145"/>
      <c r="AK118" s="145"/>
      <c r="AL118" s="145"/>
      <c r="AN118" s="149">
        <v>15</v>
      </c>
      <c r="AO118" s="149">
        <v>3.26</v>
      </c>
      <c r="AP118" s="149"/>
      <c r="AQ118" s="149">
        <f>AQ115-AQ109</f>
        <v>-0.17615384615384633</v>
      </c>
      <c r="AR118" s="149">
        <f>AR115-AR109</f>
        <v>-0.1792307692307693</v>
      </c>
      <c r="AS118" s="149">
        <f>AS115-AS109</f>
        <v>-0.14230769230769269</v>
      </c>
      <c r="AT118" s="149">
        <f>AT115-AT109</f>
        <v>-8.538461538461517E-2</v>
      </c>
      <c r="AU118" s="149"/>
    </row>
    <row r="119" spans="2:47" ht="20.100000000000001" customHeight="1">
      <c r="H119" s="21"/>
      <c r="I119" s="21"/>
      <c r="J119" s="21"/>
      <c r="K119" s="21"/>
      <c r="L119" s="21"/>
      <c r="S119" s="41"/>
      <c r="U119" s="148" t="s">
        <v>224</v>
      </c>
      <c r="V119" s="148"/>
      <c r="W119" s="148" t="s">
        <v>192</v>
      </c>
      <c r="X119" s="148"/>
      <c r="Y119" s="40"/>
      <c r="AA119" s="145"/>
      <c r="AB119" s="145"/>
      <c r="AC119" s="145"/>
      <c r="AD119" s="145"/>
      <c r="AE119" s="145"/>
      <c r="AF119" s="145"/>
      <c r="AG119" s="145"/>
      <c r="AH119" s="145"/>
      <c r="AI119" s="145"/>
      <c r="AJ119" s="145"/>
      <c r="AK119" s="145"/>
      <c r="AL119" s="145"/>
      <c r="AN119" s="149"/>
      <c r="AO119" s="149"/>
      <c r="AP119" s="149"/>
      <c r="AQ119" s="149"/>
      <c r="AR119" s="149"/>
      <c r="AS119" s="149"/>
      <c r="AT119" s="149"/>
      <c r="AU119" s="149"/>
    </row>
    <row r="120" spans="2:47" ht="15" customHeight="1">
      <c r="B120" s="154"/>
      <c r="D120" s="73"/>
      <c r="E120" s="73"/>
      <c r="F120" s="21"/>
      <c r="G120" s="21"/>
      <c r="H120" s="21"/>
      <c r="I120" s="21"/>
      <c r="J120" s="21"/>
      <c r="K120" s="21"/>
      <c r="L120" s="21"/>
      <c r="S120" s="41"/>
      <c r="U120" s="148" t="s">
        <v>196</v>
      </c>
      <c r="V120" s="148" t="s">
        <v>197</v>
      </c>
      <c r="W120" s="148" t="s">
        <v>198</v>
      </c>
      <c r="X120" s="148"/>
      <c r="Y120" s="40"/>
      <c r="AA120" s="145"/>
      <c r="AB120" s="145"/>
      <c r="AC120" s="145"/>
      <c r="AD120" s="145"/>
      <c r="AE120" s="145"/>
      <c r="AF120" s="145"/>
      <c r="AG120" s="145"/>
      <c r="AH120" s="145"/>
      <c r="AI120" s="145"/>
      <c r="AJ120" s="145"/>
      <c r="AK120" s="145"/>
      <c r="AL120" s="145"/>
    </row>
    <row r="121" spans="2:47" ht="15" customHeight="1">
      <c r="B121" s="147" t="s">
        <v>225</v>
      </c>
      <c r="D121" s="160"/>
      <c r="E121" s="160"/>
      <c r="F121" s="61"/>
      <c r="G121" s="61"/>
      <c r="H121" s="61"/>
      <c r="I121" s="61"/>
      <c r="J121" s="61"/>
      <c r="K121" s="21"/>
      <c r="L121" s="21"/>
      <c r="S121" s="41"/>
      <c r="U121" s="148">
        <v>15</v>
      </c>
      <c r="V121" s="148">
        <v>14</v>
      </c>
      <c r="W121" s="148">
        <v>3.4</v>
      </c>
      <c r="X121" s="148"/>
      <c r="Y121" s="40"/>
      <c r="AA121" s="145"/>
      <c r="AB121" s="145" t="s">
        <v>196</v>
      </c>
      <c r="AC121" s="145" t="s">
        <v>197</v>
      </c>
      <c r="AD121" s="145" t="s">
        <v>198</v>
      </c>
      <c r="AE121" s="145"/>
      <c r="AF121" s="145"/>
      <c r="AG121" s="145"/>
      <c r="AH121" s="145" t="s">
        <v>196</v>
      </c>
      <c r="AI121" s="145" t="s">
        <v>197</v>
      </c>
      <c r="AJ121" s="145" t="s">
        <v>198</v>
      </c>
      <c r="AK121" s="145"/>
      <c r="AL121" s="145"/>
    </row>
    <row r="122" spans="2:47" ht="15" customHeight="1">
      <c r="B122" s="66" t="s">
        <v>226</v>
      </c>
      <c r="C122" s="66"/>
      <c r="D122" s="61"/>
      <c r="E122" s="61"/>
      <c r="F122" s="61"/>
      <c r="G122" s="61"/>
      <c r="H122" s="61"/>
      <c r="I122" s="61"/>
      <c r="J122" s="61"/>
      <c r="K122" s="21"/>
      <c r="L122" s="21"/>
      <c r="S122" s="41"/>
      <c r="U122" s="148" t="s">
        <v>227</v>
      </c>
      <c r="V122" s="148"/>
      <c r="W122" s="148" t="s">
        <v>192</v>
      </c>
      <c r="X122" s="148"/>
      <c r="Y122" s="40"/>
      <c r="AA122" s="145" t="s">
        <v>199</v>
      </c>
      <c r="AB122" s="145">
        <v>15</v>
      </c>
      <c r="AC122" s="145">
        <v>14</v>
      </c>
      <c r="AD122" s="145">
        <v>3.4</v>
      </c>
      <c r="AE122" s="145">
        <v>4</v>
      </c>
      <c r="AF122" s="145"/>
      <c r="AG122" s="145" t="s">
        <v>199</v>
      </c>
      <c r="AH122" s="145">
        <v>2</v>
      </c>
      <c r="AI122" s="145">
        <v>5.7</v>
      </c>
      <c r="AJ122" s="145">
        <v>1.35</v>
      </c>
      <c r="AK122" s="145">
        <v>4</v>
      </c>
      <c r="AL122" s="145"/>
    </row>
    <row r="123" spans="2:47" ht="15" customHeight="1">
      <c r="B123" s="161" t="s">
        <v>228</v>
      </c>
      <c r="C123" s="161"/>
      <c r="D123" s="160"/>
      <c r="E123" s="160"/>
      <c r="F123" s="61"/>
      <c r="G123" s="61"/>
      <c r="H123" s="61"/>
      <c r="I123" s="61"/>
      <c r="J123" s="61"/>
      <c r="K123" s="21"/>
      <c r="L123" s="21"/>
      <c r="S123" s="41"/>
      <c r="U123" s="148" t="s">
        <v>196</v>
      </c>
      <c r="V123" s="148" t="s">
        <v>197</v>
      </c>
      <c r="W123" s="148" t="s">
        <v>198</v>
      </c>
      <c r="X123" s="148"/>
      <c r="Y123" s="40"/>
      <c r="AA123" s="145" t="s">
        <v>211</v>
      </c>
      <c r="AB123" s="145">
        <v>15</v>
      </c>
      <c r="AC123" s="145">
        <v>13.7</v>
      </c>
      <c r="AD123" s="145">
        <v>3.4</v>
      </c>
      <c r="AE123" s="145">
        <v>4</v>
      </c>
      <c r="AF123" s="145"/>
      <c r="AG123" s="145" t="s">
        <v>211</v>
      </c>
      <c r="AH123" s="145">
        <v>2</v>
      </c>
      <c r="AI123" s="145">
        <v>5.7</v>
      </c>
      <c r="AJ123" s="145">
        <v>1.35</v>
      </c>
      <c r="AK123" s="145">
        <v>4</v>
      </c>
      <c r="AL123" s="145"/>
    </row>
    <row r="124" spans="2:47" ht="15" customHeight="1">
      <c r="B124" s="161" t="s">
        <v>229</v>
      </c>
      <c r="C124" s="161"/>
      <c r="D124" s="160"/>
      <c r="E124" s="160"/>
      <c r="F124" s="61"/>
      <c r="G124" s="61"/>
      <c r="H124" s="61"/>
      <c r="I124" s="61"/>
      <c r="J124" s="61"/>
      <c r="K124" s="21"/>
      <c r="L124" s="21"/>
      <c r="S124" s="41"/>
      <c r="U124" s="148">
        <v>15</v>
      </c>
      <c r="V124" s="148">
        <v>13.7</v>
      </c>
      <c r="W124" s="148">
        <v>3.4</v>
      </c>
      <c r="X124" s="148"/>
      <c r="Y124" s="40"/>
      <c r="AA124" s="145"/>
      <c r="AB124" s="145"/>
      <c r="AC124" s="145"/>
      <c r="AD124" s="145"/>
      <c r="AE124" s="145"/>
      <c r="AF124" s="145"/>
      <c r="AG124" s="145"/>
      <c r="AH124" s="145"/>
      <c r="AI124" s="145"/>
      <c r="AJ124" s="145"/>
      <c r="AK124" s="145"/>
      <c r="AL124" s="145"/>
    </row>
    <row r="125" spans="2:47" ht="15" customHeight="1">
      <c r="B125" s="161" t="s">
        <v>230</v>
      </c>
      <c r="C125" s="161"/>
      <c r="D125" s="61"/>
      <c r="E125" s="61"/>
      <c r="F125" s="61"/>
      <c r="G125" s="61"/>
      <c r="H125" s="61"/>
      <c r="I125" s="61"/>
      <c r="J125" s="61"/>
      <c r="K125" s="21"/>
      <c r="L125" s="21"/>
      <c r="S125" s="41"/>
      <c r="U125" s="43"/>
      <c r="V125" s="43"/>
      <c r="W125" s="43"/>
      <c r="X125" s="43"/>
      <c r="Y125" s="43"/>
      <c r="Z125" s="43"/>
      <c r="AA125" s="43"/>
      <c r="AB125" s="43"/>
      <c r="AC125" s="43"/>
      <c r="AD125" s="43"/>
      <c r="AE125" s="43"/>
    </row>
    <row r="126" spans="2:47" s="83" customFormat="1" ht="42" customHeight="1">
      <c r="B126" s="422" t="s">
        <v>231</v>
      </c>
      <c r="C126" s="422"/>
      <c r="D126" s="422"/>
      <c r="E126" s="422"/>
      <c r="F126" s="422"/>
      <c r="G126" s="422"/>
      <c r="H126" s="422"/>
      <c r="I126" s="422"/>
      <c r="J126" s="422"/>
      <c r="K126" s="422"/>
      <c r="L126" s="21"/>
      <c r="M126" s="21"/>
      <c r="N126" s="43"/>
      <c r="O126" s="43"/>
      <c r="P126" s="43"/>
      <c r="Q126" s="43"/>
      <c r="R126" s="43"/>
      <c r="S126" s="155"/>
      <c r="T126" s="43"/>
      <c r="U126" s="43"/>
      <c r="V126" s="43"/>
      <c r="W126" s="43"/>
      <c r="X126" s="43"/>
      <c r="Y126" s="43"/>
      <c r="Z126" s="43"/>
      <c r="AA126" s="43"/>
      <c r="AB126" s="43"/>
      <c r="AC126" s="43"/>
      <c r="AD126" s="43"/>
      <c r="AE126" s="43"/>
      <c r="AF126" s="43"/>
      <c r="AG126" s="43"/>
      <c r="AH126" s="43"/>
      <c r="AI126" s="43"/>
      <c r="AJ126" s="43"/>
      <c r="AK126" s="43"/>
      <c r="AL126" s="43"/>
      <c r="AM126" s="43"/>
      <c r="AN126" s="43"/>
      <c r="AO126" s="43"/>
      <c r="AP126" s="43"/>
      <c r="AQ126" s="43"/>
      <c r="AR126" s="43"/>
      <c r="AS126" s="43"/>
    </row>
    <row r="127" spans="2:47" ht="90.75" customHeight="1">
      <c r="B127" s="423" t="s">
        <v>232</v>
      </c>
      <c r="C127" s="423"/>
      <c r="D127" s="423"/>
      <c r="E127" s="423"/>
      <c r="F127" s="423"/>
      <c r="G127" s="423"/>
      <c r="H127" s="423"/>
      <c r="I127" s="423"/>
      <c r="J127" s="423"/>
      <c r="K127" s="423"/>
      <c r="L127" s="21"/>
      <c r="S127" s="41"/>
      <c r="Y127" s="40"/>
    </row>
    <row r="128" spans="2:47">
      <c r="K128" s="21"/>
      <c r="L128" s="21"/>
      <c r="S128" s="41"/>
      <c r="Y128" s="40"/>
    </row>
    <row r="129" spans="2:25">
      <c r="K129" s="21"/>
      <c r="L129" s="21"/>
      <c r="S129" s="41"/>
      <c r="Y129" s="40"/>
    </row>
    <row r="130" spans="2:25">
      <c r="K130" s="21"/>
      <c r="L130" s="21"/>
      <c r="S130" s="41"/>
      <c r="Y130" s="40"/>
    </row>
    <row r="131" spans="2:25">
      <c r="K131" s="21"/>
      <c r="L131" s="21"/>
      <c r="S131" s="41"/>
      <c r="Y131" s="40"/>
    </row>
    <row r="132" spans="2:25">
      <c r="K132" s="21"/>
      <c r="L132" s="21"/>
      <c r="S132" s="41"/>
      <c r="Y132" s="40"/>
    </row>
    <row r="133" spans="2:25">
      <c r="K133" s="21"/>
      <c r="L133" s="21"/>
      <c r="S133" s="41"/>
      <c r="Y133" s="40"/>
    </row>
    <row r="134" spans="2:25">
      <c r="K134" s="21"/>
      <c r="L134" s="21"/>
      <c r="S134" s="41"/>
      <c r="Y134" s="40"/>
    </row>
    <row r="135" spans="2:25" ht="41.25" customHeight="1">
      <c r="K135" s="21"/>
      <c r="L135" s="21"/>
      <c r="S135" s="41"/>
      <c r="Y135" s="40"/>
    </row>
    <row r="136" spans="2:25" ht="128.25" customHeight="1">
      <c r="K136" s="21"/>
      <c r="L136" s="21"/>
      <c r="S136" s="41"/>
      <c r="Y136" s="40"/>
    </row>
    <row r="137" spans="2:25">
      <c r="C137" s="21"/>
      <c r="D137" s="21"/>
      <c r="E137" s="21"/>
      <c r="F137" s="21"/>
      <c r="G137" s="21"/>
      <c r="H137" s="21"/>
      <c r="I137" s="21"/>
      <c r="J137" s="21"/>
      <c r="K137" s="21"/>
      <c r="L137" s="21"/>
      <c r="S137" s="41"/>
      <c r="Y137" s="40"/>
    </row>
    <row r="138" spans="2:25">
      <c r="D138" s="21"/>
      <c r="E138" s="21"/>
      <c r="F138" s="21"/>
      <c r="G138" s="21"/>
      <c r="H138" s="21"/>
      <c r="I138" s="21"/>
      <c r="J138" s="21"/>
      <c r="K138" s="21"/>
      <c r="L138" s="21"/>
      <c r="S138" s="41"/>
      <c r="Y138" s="40"/>
    </row>
    <row r="139" spans="2:25">
      <c r="D139" s="21"/>
      <c r="E139" s="21"/>
      <c r="F139" s="21"/>
      <c r="G139" s="21"/>
      <c r="H139" s="21"/>
      <c r="I139" s="21"/>
      <c r="J139" s="21"/>
      <c r="K139" s="21"/>
      <c r="L139" s="21"/>
      <c r="S139" s="41"/>
      <c r="Y139" s="40"/>
    </row>
    <row r="140" spans="2:25">
      <c r="C140" s="162"/>
      <c r="D140" s="21"/>
      <c r="E140" s="21"/>
      <c r="F140" s="21"/>
      <c r="G140" s="21"/>
      <c r="H140" s="21"/>
      <c r="I140" s="21"/>
      <c r="J140" s="21"/>
      <c r="K140" s="21"/>
      <c r="L140" s="21"/>
      <c r="S140" s="41"/>
      <c r="Y140" s="40"/>
    </row>
    <row r="141" spans="2:25">
      <c r="C141" s="162"/>
      <c r="D141" s="21"/>
      <c r="E141" s="21"/>
      <c r="F141" s="21"/>
      <c r="G141" s="21"/>
      <c r="H141" s="21"/>
      <c r="I141" s="21"/>
      <c r="J141" s="21"/>
      <c r="K141" s="21"/>
      <c r="L141" s="21"/>
      <c r="S141" s="41"/>
      <c r="Y141" s="40"/>
    </row>
    <row r="142" spans="2:25">
      <c r="C142" s="162"/>
      <c r="D142" s="21"/>
      <c r="E142" s="21"/>
      <c r="F142" s="21"/>
      <c r="G142" s="21"/>
      <c r="H142" s="21"/>
      <c r="I142" s="21"/>
      <c r="J142" s="21"/>
      <c r="K142" s="21"/>
      <c r="L142" s="21"/>
      <c r="S142" s="41"/>
      <c r="Y142" s="40"/>
    </row>
    <row r="143" spans="2:25">
      <c r="B143" s="22"/>
      <c r="S143" s="41"/>
      <c r="Y143" s="40"/>
    </row>
    <row r="144" spans="2:25">
      <c r="B144" s="22"/>
      <c r="S144" s="41"/>
      <c r="Y144" s="40"/>
    </row>
    <row r="145" spans="2:25">
      <c r="B145" s="22"/>
      <c r="C145" s="163"/>
      <c r="S145" s="41"/>
      <c r="Y145" s="40"/>
    </row>
    <row r="146" spans="2:25">
      <c r="B146" s="22"/>
      <c r="S146" s="41"/>
      <c r="Y146" s="40"/>
    </row>
    <row r="147" spans="2:25">
      <c r="B147" s="22"/>
      <c r="C147" s="619"/>
      <c r="D147" s="619"/>
      <c r="E147" s="619"/>
      <c r="F147" s="619"/>
      <c r="G147" s="619"/>
      <c r="H147" s="619"/>
      <c r="I147" s="619"/>
      <c r="S147" s="41"/>
      <c r="Y147" s="40"/>
    </row>
    <row r="148" spans="2:25">
      <c r="B148" s="22"/>
      <c r="S148" s="41"/>
      <c r="Y148" s="40"/>
    </row>
    <row r="149" spans="2:25">
      <c r="B149" s="22"/>
      <c r="S149" s="41"/>
      <c r="Y149" s="40"/>
    </row>
    <row r="150" spans="2:25" ht="18">
      <c r="B150" s="22"/>
      <c r="D150" s="620"/>
      <c r="E150" s="621"/>
      <c r="F150" s="621"/>
      <c r="G150" s="621"/>
      <c r="S150" s="41"/>
      <c r="Y150" s="40"/>
    </row>
    <row r="151" spans="2:25" ht="15">
      <c r="B151" s="22"/>
      <c r="D151" s="622"/>
      <c r="E151" s="622"/>
      <c r="F151" s="622"/>
      <c r="G151" s="622"/>
      <c r="S151" s="41"/>
      <c r="Y151" s="40"/>
    </row>
    <row r="152" spans="2:25" ht="15">
      <c r="B152" s="22"/>
      <c r="C152" s="164"/>
      <c r="D152" s="164"/>
      <c r="E152" s="164"/>
      <c r="F152" s="164"/>
      <c r="G152" s="164"/>
      <c r="S152" s="41"/>
      <c r="Y152" s="40"/>
    </row>
    <row r="153" spans="2:25" ht="15">
      <c r="B153" s="22"/>
      <c r="C153" s="98"/>
      <c r="D153" s="165"/>
      <c r="E153" s="165"/>
      <c r="F153" s="165"/>
      <c r="G153" s="165"/>
      <c r="I153" s="163"/>
      <c r="S153" s="41"/>
      <c r="Y153" s="40"/>
    </row>
    <row r="154" spans="2:25">
      <c r="B154" s="22"/>
      <c r="S154" s="41"/>
      <c r="Y154" s="40"/>
    </row>
    <row r="155" spans="2:25">
      <c r="B155" s="22"/>
      <c r="S155" s="41"/>
      <c r="Y155" s="40"/>
    </row>
    <row r="156" spans="2:25">
      <c r="B156" s="22"/>
      <c r="C156" s="619"/>
      <c r="D156" s="619"/>
      <c r="E156" s="619"/>
      <c r="F156" s="619"/>
      <c r="G156" s="619"/>
      <c r="H156" s="619"/>
      <c r="I156" s="619"/>
      <c r="S156" s="41"/>
      <c r="Y156" s="40"/>
    </row>
    <row r="157" spans="2:25">
      <c r="B157" s="22"/>
      <c r="S157" s="41"/>
      <c r="Y157" s="40"/>
    </row>
    <row r="158" spans="2:25">
      <c r="C158" s="21"/>
      <c r="D158" s="21"/>
      <c r="E158" s="21"/>
      <c r="F158" s="21"/>
      <c r="G158" s="21"/>
      <c r="H158" s="21"/>
      <c r="I158" s="21"/>
      <c r="J158" s="21"/>
      <c r="K158" s="21"/>
      <c r="L158" s="21"/>
      <c r="S158" s="41"/>
      <c r="Y158" s="40"/>
    </row>
    <row r="159" spans="2:25">
      <c r="C159" s="21"/>
      <c r="D159" s="21"/>
      <c r="E159" s="21"/>
      <c r="F159" s="21"/>
      <c r="G159" s="21"/>
      <c r="H159" s="21"/>
      <c r="I159" s="21"/>
      <c r="J159" s="21"/>
      <c r="K159" s="21"/>
      <c r="L159" s="21"/>
      <c r="S159" s="41"/>
      <c r="Y159" s="40"/>
    </row>
    <row r="160" spans="2:25">
      <c r="C160" s="21"/>
      <c r="D160" s="21"/>
      <c r="E160" s="13"/>
      <c r="F160" s="21"/>
      <c r="G160" s="21"/>
      <c r="H160" s="21"/>
      <c r="I160" s="21"/>
      <c r="J160" s="21"/>
      <c r="K160" s="21"/>
      <c r="L160" s="21"/>
      <c r="S160" s="41"/>
      <c r="Y160" s="40"/>
    </row>
    <row r="161" spans="3:25">
      <c r="C161" s="21"/>
      <c r="D161" s="21"/>
      <c r="E161" s="21"/>
      <c r="F161" s="21"/>
      <c r="G161" s="21"/>
      <c r="H161" s="21"/>
      <c r="I161" s="21"/>
      <c r="J161" s="21"/>
      <c r="K161" s="21"/>
      <c r="L161" s="21"/>
      <c r="S161" s="41"/>
      <c r="Y161" s="40"/>
    </row>
    <row r="162" spans="3:25">
      <c r="C162" s="21"/>
      <c r="D162" s="21"/>
      <c r="E162" s="21"/>
      <c r="F162" s="21"/>
      <c r="G162" s="21"/>
      <c r="H162" s="21"/>
      <c r="I162" s="21"/>
      <c r="J162" s="21"/>
      <c r="K162" s="21"/>
      <c r="L162" s="21"/>
      <c r="S162" s="41"/>
      <c r="Y162" s="40"/>
    </row>
    <row r="163" spans="3:25">
      <c r="C163" s="21"/>
      <c r="D163" s="21"/>
      <c r="E163" s="21"/>
      <c r="F163" s="21"/>
      <c r="G163" s="21"/>
      <c r="H163" s="21"/>
      <c r="I163" s="21"/>
      <c r="J163" s="21"/>
      <c r="K163" s="21"/>
      <c r="L163" s="21"/>
      <c r="S163" s="41"/>
      <c r="Y163" s="40"/>
    </row>
    <row r="164" spans="3:25">
      <c r="C164" s="21"/>
      <c r="D164" s="21"/>
      <c r="E164" s="21"/>
      <c r="F164" s="21"/>
      <c r="G164" s="21"/>
      <c r="H164" s="21"/>
      <c r="I164" s="21"/>
      <c r="J164" s="21"/>
      <c r="K164" s="21"/>
      <c r="L164" s="21"/>
      <c r="S164" s="41"/>
      <c r="Y164" s="40"/>
    </row>
    <row r="165" spans="3:25">
      <c r="C165" s="21"/>
      <c r="D165" s="21"/>
      <c r="E165" s="21"/>
      <c r="F165" s="21"/>
      <c r="G165" s="21"/>
      <c r="H165" s="21"/>
      <c r="I165" s="21"/>
      <c r="J165" s="21"/>
      <c r="K165" s="21"/>
      <c r="L165" s="21"/>
      <c r="S165" s="41"/>
      <c r="Y165" s="40"/>
    </row>
    <row r="166" spans="3:25">
      <c r="C166" s="21"/>
      <c r="D166" s="21"/>
      <c r="E166" s="21"/>
      <c r="F166" s="21"/>
      <c r="G166" s="21"/>
      <c r="H166" s="21"/>
      <c r="I166" s="21"/>
      <c r="J166" s="21"/>
      <c r="K166" s="21"/>
      <c r="L166" s="21"/>
      <c r="S166" s="41"/>
      <c r="Y166" s="40"/>
    </row>
    <row r="167" spans="3:25">
      <c r="C167" s="21"/>
      <c r="D167" s="21"/>
      <c r="E167" s="13"/>
      <c r="F167" s="21"/>
      <c r="G167" s="21"/>
      <c r="H167" s="21"/>
      <c r="I167" s="21"/>
      <c r="J167" s="21"/>
      <c r="K167" s="21"/>
      <c r="L167" s="21"/>
      <c r="S167" s="41"/>
      <c r="Y167" s="40"/>
    </row>
    <row r="168" spans="3:25">
      <c r="C168" s="21"/>
      <c r="D168" s="21"/>
      <c r="E168" s="21"/>
      <c r="F168" s="21"/>
      <c r="G168" s="21"/>
      <c r="H168" s="21"/>
      <c r="I168" s="21"/>
      <c r="J168" s="21"/>
      <c r="K168" s="21"/>
      <c r="L168" s="21"/>
      <c r="S168" s="41"/>
      <c r="Y168" s="40"/>
    </row>
    <row r="169" spans="3:25">
      <c r="C169" s="21"/>
      <c r="D169" s="21"/>
      <c r="E169" s="21"/>
      <c r="F169" s="21"/>
      <c r="G169" s="21"/>
      <c r="H169" s="21"/>
      <c r="I169" s="21"/>
      <c r="J169" s="21"/>
      <c r="K169" s="21"/>
      <c r="L169" s="21"/>
      <c r="S169" s="41"/>
      <c r="Y169" s="40"/>
    </row>
    <row r="170" spans="3:25">
      <c r="C170" s="21"/>
      <c r="D170" s="21"/>
      <c r="E170" s="21"/>
      <c r="F170" s="21"/>
      <c r="G170" s="21"/>
      <c r="H170" s="21"/>
      <c r="I170" s="21"/>
      <c r="J170" s="21"/>
      <c r="K170" s="21"/>
      <c r="L170" s="21"/>
      <c r="S170" s="41"/>
      <c r="Y170" s="40"/>
    </row>
    <row r="171" spans="3:25">
      <c r="C171" s="21"/>
      <c r="D171" s="21"/>
      <c r="E171" s="21"/>
      <c r="F171" s="21"/>
      <c r="G171" s="21"/>
      <c r="H171" s="21"/>
      <c r="I171" s="21"/>
      <c r="J171" s="21"/>
      <c r="K171" s="21"/>
      <c r="L171" s="21"/>
      <c r="S171" s="41"/>
      <c r="Y171" s="40"/>
    </row>
    <row r="172" spans="3:25">
      <c r="C172" s="21"/>
      <c r="D172" s="21"/>
      <c r="E172" s="21"/>
      <c r="F172" s="21"/>
      <c r="G172" s="21"/>
      <c r="H172" s="21"/>
      <c r="I172" s="21"/>
      <c r="J172" s="21"/>
      <c r="K172" s="21"/>
      <c r="L172" s="21"/>
      <c r="S172" s="41"/>
      <c r="Y172" s="40"/>
    </row>
    <row r="173" spans="3:25">
      <c r="C173" s="21"/>
      <c r="D173" s="21"/>
      <c r="E173" s="21"/>
      <c r="F173" s="21"/>
      <c r="G173" s="21"/>
      <c r="H173" s="21"/>
      <c r="I173" s="21"/>
      <c r="J173" s="21"/>
      <c r="K173" s="21"/>
      <c r="L173" s="21"/>
      <c r="S173" s="41"/>
      <c r="Y173" s="40"/>
    </row>
    <row r="174" spans="3:25">
      <c r="C174" s="21"/>
      <c r="D174" s="21"/>
      <c r="E174" s="21"/>
      <c r="F174" s="21"/>
      <c r="G174" s="21"/>
      <c r="H174" s="21"/>
      <c r="I174" s="21"/>
      <c r="J174" s="21"/>
      <c r="K174" s="21"/>
      <c r="L174" s="21"/>
      <c r="S174" s="41"/>
      <c r="Y174" s="40"/>
    </row>
    <row r="175" spans="3:25">
      <c r="C175" s="21"/>
      <c r="D175" s="21"/>
      <c r="E175" s="21"/>
      <c r="F175" s="21"/>
      <c r="G175" s="21"/>
      <c r="H175" s="21"/>
      <c r="I175" s="21"/>
      <c r="J175" s="21"/>
      <c r="K175" s="21"/>
      <c r="L175" s="21"/>
      <c r="S175" s="41"/>
      <c r="Y175" s="40"/>
    </row>
    <row r="176" spans="3:25">
      <c r="C176" s="21"/>
      <c r="D176" s="21"/>
      <c r="E176" s="21"/>
      <c r="F176" s="21"/>
      <c r="G176" s="21"/>
      <c r="H176" s="21"/>
      <c r="I176" s="21"/>
      <c r="J176" s="21"/>
      <c r="K176" s="21"/>
      <c r="L176" s="21"/>
      <c r="S176" s="41"/>
      <c r="Y176" s="40"/>
    </row>
    <row r="177" spans="3:25">
      <c r="C177" s="21"/>
      <c r="D177" s="21"/>
      <c r="E177" s="21"/>
      <c r="F177" s="21"/>
      <c r="G177" s="21"/>
      <c r="H177" s="21"/>
      <c r="I177" s="21"/>
      <c r="J177" s="21"/>
      <c r="K177" s="21"/>
      <c r="L177" s="21"/>
      <c r="S177" s="41"/>
      <c r="Y177" s="40"/>
    </row>
    <row r="178" spans="3:25">
      <c r="C178" s="617"/>
      <c r="D178" s="617"/>
      <c r="E178" s="617"/>
      <c r="F178" s="617"/>
      <c r="G178" s="617"/>
      <c r="H178" s="617"/>
      <c r="I178" s="617"/>
      <c r="J178" s="21"/>
      <c r="K178" s="21"/>
      <c r="L178" s="21"/>
      <c r="S178" s="41"/>
      <c r="Y178" s="40"/>
    </row>
    <row r="179" spans="3:25">
      <c r="C179" s="21"/>
      <c r="D179" s="21"/>
      <c r="E179" s="21"/>
      <c r="F179" s="21"/>
      <c r="G179" s="21"/>
      <c r="H179" s="21"/>
      <c r="I179" s="21"/>
      <c r="J179" s="21"/>
      <c r="K179" s="21"/>
      <c r="L179" s="21"/>
      <c r="S179" s="41"/>
      <c r="Y179" s="40"/>
    </row>
    <row r="180" spans="3:25">
      <c r="C180" s="21"/>
      <c r="D180" s="21"/>
      <c r="E180" s="21"/>
      <c r="F180" s="21"/>
      <c r="G180" s="21"/>
      <c r="H180" s="21"/>
      <c r="I180" s="21"/>
      <c r="J180" s="21"/>
      <c r="K180" s="21"/>
      <c r="L180" s="21"/>
      <c r="S180" s="41"/>
      <c r="Y180" s="40"/>
    </row>
    <row r="181" spans="3:25">
      <c r="C181" s="21"/>
      <c r="D181" s="21"/>
      <c r="E181" s="21"/>
      <c r="F181" s="21"/>
      <c r="G181" s="21"/>
      <c r="H181" s="21"/>
      <c r="I181" s="21"/>
      <c r="J181" s="21"/>
      <c r="K181" s="21"/>
      <c r="L181" s="21"/>
      <c r="S181" s="41"/>
      <c r="Y181" s="40"/>
    </row>
    <row r="182" spans="3:25">
      <c r="C182" s="13"/>
      <c r="D182" s="21"/>
      <c r="E182" s="21"/>
      <c r="F182" s="21"/>
      <c r="G182" s="21"/>
      <c r="H182" s="21"/>
      <c r="I182" s="21"/>
      <c r="J182" s="21"/>
      <c r="K182" s="21"/>
      <c r="L182" s="21"/>
      <c r="S182" s="41"/>
      <c r="Y182" s="40"/>
    </row>
    <row r="183" spans="3:25">
      <c r="C183" s="21"/>
      <c r="D183" s="21"/>
      <c r="E183" s="21"/>
      <c r="F183" s="21"/>
      <c r="G183" s="21"/>
      <c r="H183" s="21"/>
      <c r="I183" s="21"/>
      <c r="J183" s="21"/>
      <c r="K183" s="21"/>
      <c r="L183" s="21"/>
      <c r="S183" s="41"/>
      <c r="Y183" s="40"/>
    </row>
    <row r="184" spans="3:25">
      <c r="C184" s="21"/>
      <c r="D184" s="21"/>
      <c r="E184" s="21"/>
      <c r="F184" s="21"/>
      <c r="G184" s="21"/>
      <c r="H184" s="21"/>
      <c r="I184" s="21"/>
      <c r="J184" s="21"/>
      <c r="K184" s="21"/>
      <c r="L184" s="21"/>
      <c r="S184" s="41"/>
      <c r="Y184" s="40"/>
    </row>
    <row r="185" spans="3:25">
      <c r="C185" s="21"/>
      <c r="D185" s="21"/>
      <c r="E185" s="21"/>
      <c r="F185" s="21"/>
      <c r="G185" s="21"/>
      <c r="H185" s="21"/>
      <c r="I185" s="21"/>
      <c r="J185" s="21"/>
      <c r="K185" s="21"/>
      <c r="L185" s="21"/>
      <c r="S185" s="41"/>
      <c r="Y185" s="40"/>
    </row>
    <row r="186" spans="3:25">
      <c r="C186" s="21"/>
      <c r="D186" s="21"/>
      <c r="E186" s="21"/>
      <c r="F186" s="21"/>
      <c r="G186" s="21"/>
      <c r="H186" s="21"/>
      <c r="I186" s="21"/>
      <c r="J186" s="21"/>
      <c r="K186" s="21"/>
      <c r="L186" s="21"/>
      <c r="S186" s="41"/>
      <c r="Y186" s="40"/>
    </row>
    <row r="187" spans="3:25">
      <c r="C187" s="21"/>
      <c r="D187" s="21"/>
      <c r="E187" s="21"/>
      <c r="F187" s="21"/>
      <c r="G187" s="21"/>
      <c r="H187" s="21"/>
      <c r="I187" s="21"/>
      <c r="J187" s="21"/>
      <c r="K187" s="21"/>
      <c r="L187" s="21"/>
      <c r="S187" s="41"/>
      <c r="Y187" s="40"/>
    </row>
    <row r="188" spans="3:25">
      <c r="C188" s="21"/>
      <c r="D188" s="21"/>
      <c r="E188" s="21"/>
      <c r="F188" s="21"/>
      <c r="G188" s="21"/>
      <c r="H188" s="21"/>
      <c r="I188" s="21"/>
      <c r="J188" s="21"/>
      <c r="K188" s="21"/>
      <c r="L188" s="21"/>
      <c r="S188" s="41"/>
      <c r="Y188" s="40"/>
    </row>
    <row r="189" spans="3:25">
      <c r="C189" s="21"/>
      <c r="D189" s="21"/>
      <c r="E189" s="21"/>
      <c r="F189" s="21"/>
      <c r="G189" s="21"/>
      <c r="H189" s="21"/>
      <c r="I189" s="21"/>
      <c r="J189" s="21"/>
      <c r="K189" s="21"/>
      <c r="L189" s="21"/>
      <c r="S189" s="41"/>
      <c r="Y189" s="40"/>
    </row>
    <row r="190" spans="3:25">
      <c r="C190" s="21"/>
      <c r="D190" s="21"/>
      <c r="E190" s="21"/>
      <c r="F190" s="21"/>
      <c r="G190" s="21"/>
      <c r="H190" s="21"/>
      <c r="I190" s="21"/>
      <c r="J190" s="21"/>
      <c r="K190" s="21"/>
      <c r="L190" s="21"/>
      <c r="S190" s="41"/>
      <c r="Y190" s="40"/>
    </row>
    <row r="191" spans="3:25">
      <c r="C191" s="21"/>
      <c r="D191" s="21"/>
      <c r="E191" s="21"/>
      <c r="F191" s="21"/>
      <c r="G191" s="21"/>
      <c r="H191" s="21"/>
      <c r="I191" s="21"/>
      <c r="J191" s="21"/>
      <c r="K191" s="21"/>
      <c r="L191" s="21"/>
      <c r="S191" s="41"/>
      <c r="Y191" s="40"/>
    </row>
    <row r="192" spans="3:25">
      <c r="C192" s="21"/>
      <c r="D192" s="21"/>
      <c r="E192" s="21"/>
      <c r="F192" s="21"/>
      <c r="G192" s="21"/>
      <c r="H192" s="21"/>
      <c r="I192" s="21"/>
      <c r="J192" s="21"/>
      <c r="K192" s="21"/>
      <c r="L192" s="21"/>
      <c r="S192" s="40" t="s">
        <v>233</v>
      </c>
      <c r="Y192" s="40"/>
    </row>
    <row r="193" spans="3:29">
      <c r="C193" s="21"/>
      <c r="D193" s="21"/>
      <c r="E193" s="21"/>
      <c r="F193" s="21"/>
      <c r="G193" s="21"/>
      <c r="H193" s="21"/>
      <c r="I193" s="21"/>
      <c r="J193" s="21"/>
      <c r="K193" s="21"/>
      <c r="L193" s="21"/>
      <c r="S193" s="166" t="s">
        <v>234</v>
      </c>
      <c r="T193" s="167"/>
      <c r="U193" s="168"/>
      <c r="Y193" s="40"/>
    </row>
    <row r="194" spans="3:29">
      <c r="C194" s="21"/>
      <c r="D194" s="21"/>
      <c r="E194" s="21"/>
      <c r="F194" s="21"/>
      <c r="G194" s="21"/>
      <c r="H194" s="21"/>
      <c r="I194" s="21"/>
      <c r="J194" s="21"/>
      <c r="K194" s="21"/>
      <c r="L194" s="21"/>
      <c r="S194" s="169" t="s">
        <v>235</v>
      </c>
      <c r="T194" s="169" t="s">
        <v>236</v>
      </c>
      <c r="U194" s="169" t="s">
        <v>237</v>
      </c>
      <c r="Y194" s="40"/>
    </row>
    <row r="195" spans="3:29">
      <c r="C195" s="21"/>
      <c r="D195" s="21"/>
      <c r="E195" s="21"/>
      <c r="F195" s="21"/>
      <c r="G195" s="21"/>
      <c r="H195" s="21"/>
      <c r="I195" s="21"/>
      <c r="J195" s="21"/>
      <c r="K195" s="21"/>
      <c r="L195" s="21"/>
      <c r="S195" s="170" t="s">
        <v>238</v>
      </c>
      <c r="T195" s="171">
        <v>0</v>
      </c>
      <c r="U195" s="171">
        <v>0</v>
      </c>
      <c r="Y195" s="40"/>
    </row>
    <row r="196" spans="3:29">
      <c r="C196" s="21"/>
      <c r="D196" s="21"/>
      <c r="E196" s="21"/>
      <c r="F196" s="21"/>
      <c r="G196" s="21"/>
      <c r="H196" s="21"/>
      <c r="I196" s="21"/>
      <c r="J196" s="21"/>
      <c r="K196" s="21"/>
      <c r="L196" s="21"/>
      <c r="S196" s="170" t="s">
        <v>239</v>
      </c>
      <c r="T196" s="171">
        <v>2.9999999329447746E-2</v>
      </c>
      <c r="U196" s="171">
        <v>0</v>
      </c>
      <c r="Y196" s="40"/>
    </row>
    <row r="197" spans="3:29">
      <c r="C197" s="21"/>
      <c r="D197" s="21"/>
      <c r="E197" s="21"/>
      <c r="F197" s="21"/>
      <c r="G197" s="21"/>
      <c r="H197" s="21"/>
      <c r="I197" s="21"/>
      <c r="J197" s="21"/>
      <c r="K197" s="21"/>
      <c r="L197" s="21"/>
      <c r="S197" s="170" t="s">
        <v>240</v>
      </c>
      <c r="T197" s="171">
        <v>0.28499999642372131</v>
      </c>
      <c r="U197" s="171">
        <v>0</v>
      </c>
      <c r="Y197" s="40"/>
    </row>
    <row r="198" spans="3:29">
      <c r="C198" s="21"/>
      <c r="D198" s="21"/>
      <c r="E198" s="21"/>
      <c r="F198" s="21"/>
      <c r="G198" s="21"/>
      <c r="H198" s="21"/>
      <c r="I198" s="21"/>
      <c r="J198" s="21"/>
      <c r="K198" s="21"/>
      <c r="L198" s="21"/>
      <c r="S198" s="170" t="s">
        <v>241</v>
      </c>
      <c r="T198" s="171">
        <v>0.43999999761581421</v>
      </c>
      <c r="U198" s="171">
        <v>0</v>
      </c>
      <c r="X198" s="40">
        <f>IF(AND(Y199=0,Z199=0), 1, 0)</f>
        <v>0</v>
      </c>
      <c r="Y198" s="40">
        <f>IF(AND(T198=0,U198=0), 0,T195)</f>
        <v>0</v>
      </c>
      <c r="Z198" s="40">
        <f>IF(AND(T198=0,U198=0), 0,U195)</f>
        <v>0</v>
      </c>
      <c r="AA198" s="170" t="s">
        <v>238</v>
      </c>
    </row>
    <row r="199" spans="3:29">
      <c r="C199" s="21"/>
      <c r="D199" s="21"/>
      <c r="E199" s="21"/>
      <c r="F199" s="21"/>
      <c r="G199" s="21"/>
      <c r="H199" s="21"/>
      <c r="I199" s="21"/>
      <c r="J199" s="21"/>
      <c r="K199" s="21"/>
      <c r="L199" s="21"/>
      <c r="S199" s="170" t="s">
        <v>242</v>
      </c>
      <c r="T199" s="171">
        <v>7</v>
      </c>
      <c r="U199" s="171">
        <v>0</v>
      </c>
      <c r="X199" s="40">
        <f t="shared" ref="X199:X220" si="15">IF(AND(Y200=0,Z200=0), 1, 0)</f>
        <v>0</v>
      </c>
      <c r="Y199" s="40">
        <f>IF(AND(T199=0,U199=0),NA(),T196)</f>
        <v>2.9999999329447746E-2</v>
      </c>
      <c r="Z199" s="40">
        <f>IF(AND(T199=0,U199=0), NA(),U196)</f>
        <v>0</v>
      </c>
      <c r="AA199" s="170" t="s">
        <v>239</v>
      </c>
    </row>
    <row r="200" spans="3:29">
      <c r="C200" s="21"/>
      <c r="D200" s="21"/>
      <c r="E200" s="21"/>
      <c r="F200" s="21"/>
      <c r="G200" s="21"/>
      <c r="H200" s="21"/>
      <c r="I200" s="21"/>
      <c r="J200" s="21"/>
      <c r="K200" s="21"/>
      <c r="L200" s="21"/>
      <c r="S200" s="170" t="s">
        <v>243</v>
      </c>
      <c r="T200" s="171">
        <v>7</v>
      </c>
      <c r="U200" s="171">
        <v>-7</v>
      </c>
      <c r="X200" s="40">
        <f t="shared" si="15"/>
        <v>0</v>
      </c>
      <c r="Y200" s="40">
        <f t="shared" ref="Y200:Y258" si="16">IF(AND(T200=0,U200=0),NA(),T197)</f>
        <v>0.28499999642372131</v>
      </c>
      <c r="Z200" s="40">
        <f t="shared" ref="Z200:Z258" si="17">IF(AND(T200=0,U200=0), NA(),U197)</f>
        <v>0</v>
      </c>
      <c r="AA200" s="170" t="s">
        <v>240</v>
      </c>
    </row>
    <row r="201" spans="3:29">
      <c r="C201" s="21"/>
      <c r="D201" s="21"/>
      <c r="E201" s="21"/>
      <c r="F201" s="21"/>
      <c r="G201" s="21"/>
      <c r="H201" s="21"/>
      <c r="I201" s="21"/>
      <c r="J201" s="21"/>
      <c r="K201" s="21"/>
      <c r="L201" s="21"/>
      <c r="S201" s="170" t="s">
        <v>244</v>
      </c>
      <c r="T201" s="171">
        <v>-5.1970000267028809</v>
      </c>
      <c r="U201" s="171">
        <v>-7</v>
      </c>
      <c r="X201" s="40">
        <f t="shared" si="15"/>
        <v>0</v>
      </c>
      <c r="Y201" s="40">
        <f t="shared" si="16"/>
        <v>0.43999999761581421</v>
      </c>
      <c r="Z201" s="40">
        <f t="shared" si="17"/>
        <v>0</v>
      </c>
      <c r="AA201" s="170" t="s">
        <v>241</v>
      </c>
    </row>
    <row r="202" spans="3:29">
      <c r="C202" s="13"/>
      <c r="D202" s="21"/>
      <c r="E202" s="21"/>
      <c r="F202" s="21"/>
      <c r="G202" s="21"/>
      <c r="H202" s="21"/>
      <c r="I202" s="21"/>
      <c r="J202" s="21"/>
      <c r="K202" s="21"/>
      <c r="L202" s="21"/>
      <c r="S202" s="170" t="s">
        <v>245</v>
      </c>
      <c r="T202" s="171">
        <v>-17.393999099731445</v>
      </c>
      <c r="U202" s="171">
        <v>-7</v>
      </c>
      <c r="X202" s="40">
        <f t="shared" si="15"/>
        <v>0</v>
      </c>
      <c r="Y202" s="40">
        <f t="shared" si="16"/>
        <v>7</v>
      </c>
      <c r="Z202" s="40">
        <f t="shared" si="17"/>
        <v>0</v>
      </c>
      <c r="AA202" s="170" t="s">
        <v>242</v>
      </c>
    </row>
    <row r="203" spans="3:29">
      <c r="C203" s="21"/>
      <c r="D203" s="21"/>
      <c r="E203" s="21"/>
      <c r="F203" s="21"/>
      <c r="G203" s="21"/>
      <c r="H203" s="21"/>
      <c r="I203" s="21"/>
      <c r="J203" s="21"/>
      <c r="K203" s="21"/>
      <c r="L203" s="21"/>
      <c r="S203" s="170" t="s">
        <v>246</v>
      </c>
      <c r="T203" s="171">
        <v>-20.544000625610352</v>
      </c>
      <c r="U203" s="171">
        <v>0.5</v>
      </c>
      <c r="X203" s="40">
        <f t="shared" si="15"/>
        <v>0</v>
      </c>
      <c r="Y203" s="40">
        <f t="shared" si="16"/>
        <v>7</v>
      </c>
      <c r="Z203" s="40">
        <f t="shared" si="17"/>
        <v>-7</v>
      </c>
      <c r="AA203" s="170" t="s">
        <v>243</v>
      </c>
    </row>
    <row r="204" spans="3:29">
      <c r="C204" s="21"/>
      <c r="D204" s="21"/>
      <c r="E204" s="21"/>
      <c r="F204" s="21"/>
      <c r="G204" s="21"/>
      <c r="H204" s="21"/>
      <c r="I204" s="21"/>
      <c r="J204" s="21"/>
      <c r="K204" s="21"/>
      <c r="L204" s="21"/>
      <c r="S204" s="170" t="s">
        <v>247</v>
      </c>
      <c r="T204" s="171">
        <v>-17.393999099731445</v>
      </c>
      <c r="U204" s="171">
        <v>8</v>
      </c>
      <c r="X204" s="40">
        <f t="shared" si="15"/>
        <v>0</v>
      </c>
      <c r="Y204" s="40">
        <f t="shared" si="16"/>
        <v>-5.1970000267028809</v>
      </c>
      <c r="Z204" s="40">
        <f t="shared" si="17"/>
        <v>-7</v>
      </c>
      <c r="AA204" s="170" t="s">
        <v>244</v>
      </c>
    </row>
    <row r="205" spans="3:29">
      <c r="C205" s="21"/>
      <c r="D205" s="21"/>
      <c r="E205" s="21"/>
      <c r="F205" s="21"/>
      <c r="G205" s="21"/>
      <c r="H205" s="21"/>
      <c r="I205" s="21"/>
      <c r="J205" s="21"/>
      <c r="K205" s="21"/>
      <c r="L205" s="21"/>
      <c r="S205" s="170" t="s">
        <v>248</v>
      </c>
      <c r="T205" s="171">
        <v>-11.399999618530273</v>
      </c>
      <c r="U205" s="171">
        <v>8</v>
      </c>
      <c r="X205" s="40">
        <f t="shared" si="15"/>
        <v>0</v>
      </c>
      <c r="Y205" s="40">
        <f t="shared" si="16"/>
        <v>-17.393999099731445</v>
      </c>
      <c r="Z205" s="40">
        <f t="shared" si="17"/>
        <v>-7</v>
      </c>
      <c r="AA205" s="170" t="s">
        <v>245</v>
      </c>
    </row>
    <row r="206" spans="3:29">
      <c r="C206" s="21"/>
      <c r="D206" s="21"/>
      <c r="E206" s="21"/>
      <c r="F206" s="21"/>
      <c r="G206" s="21"/>
      <c r="H206" s="21"/>
      <c r="I206" s="21"/>
      <c r="J206" s="21"/>
      <c r="K206" s="21"/>
      <c r="L206" s="21"/>
      <c r="S206" s="170" t="s">
        <v>249</v>
      </c>
      <c r="T206" s="171">
        <v>-11.399999618530273</v>
      </c>
      <c r="U206" s="171">
        <v>2.1800000667572021</v>
      </c>
      <c r="X206" s="40">
        <f t="shared" si="15"/>
        <v>0</v>
      </c>
      <c r="Y206" s="40">
        <f t="shared" si="16"/>
        <v>-20.544000625610352</v>
      </c>
      <c r="Z206" s="40">
        <f t="shared" si="17"/>
        <v>0.5</v>
      </c>
      <c r="AA206" s="170" t="s">
        <v>246</v>
      </c>
    </row>
    <row r="207" spans="3:29">
      <c r="C207" s="21"/>
      <c r="D207" s="21"/>
      <c r="E207" s="21"/>
      <c r="F207" s="21"/>
      <c r="G207" s="21"/>
      <c r="H207" s="21"/>
      <c r="I207" s="21"/>
      <c r="J207" s="21"/>
      <c r="K207" s="21"/>
      <c r="L207" s="21"/>
      <c r="S207" s="170" t="s">
        <v>250</v>
      </c>
      <c r="T207" s="171">
        <v>-11.399999618530273</v>
      </c>
      <c r="U207" s="171">
        <v>2.5899999141693115</v>
      </c>
      <c r="X207" s="40">
        <f t="shared" si="15"/>
        <v>0</v>
      </c>
      <c r="Y207" s="40">
        <f t="shared" si="16"/>
        <v>-17.393999099731445</v>
      </c>
      <c r="Z207" s="40">
        <f t="shared" si="17"/>
        <v>8</v>
      </c>
      <c r="AA207" s="170" t="s">
        <v>247</v>
      </c>
    </row>
    <row r="208" spans="3:29">
      <c r="C208" s="21"/>
      <c r="D208" s="21"/>
      <c r="E208" s="21"/>
      <c r="F208" s="21"/>
      <c r="G208" s="21"/>
      <c r="H208" s="21"/>
      <c r="I208" s="21"/>
      <c r="J208" s="21"/>
      <c r="K208" s="21"/>
      <c r="L208" s="21"/>
      <c r="S208" s="170" t="s">
        <v>251</v>
      </c>
      <c r="T208" s="171">
        <v>-11.399999618530273</v>
      </c>
      <c r="U208" s="171">
        <v>2.434999942779541</v>
      </c>
      <c r="X208" s="40" t="e">
        <f t="shared" si="15"/>
        <v>#N/A</v>
      </c>
      <c r="Y208" s="40">
        <f t="shared" si="16"/>
        <v>-11.399999618530273</v>
      </c>
      <c r="Z208" s="40">
        <f t="shared" si="17"/>
        <v>8</v>
      </c>
      <c r="AA208" s="170" t="s">
        <v>248</v>
      </c>
      <c r="AB208" s="40">
        <v>14.401000022888184</v>
      </c>
      <c r="AC208" s="40">
        <v>-0.57999998331069946</v>
      </c>
    </row>
    <row r="209" spans="3:30">
      <c r="C209" s="21"/>
      <c r="D209" s="21"/>
      <c r="E209" s="21"/>
      <c r="F209" s="21"/>
      <c r="G209" s="21"/>
      <c r="H209" s="21"/>
      <c r="I209" s="21"/>
      <c r="J209" s="21"/>
      <c r="K209" s="21"/>
      <c r="L209" s="21"/>
      <c r="S209" s="170" t="s">
        <v>252</v>
      </c>
      <c r="T209" s="171"/>
      <c r="U209" s="171"/>
      <c r="X209" s="40" t="e">
        <f t="shared" si="15"/>
        <v>#N/A</v>
      </c>
      <c r="Y209" s="40" t="e">
        <f t="shared" si="16"/>
        <v>#N/A</v>
      </c>
      <c r="Z209" s="40" t="e">
        <f t="shared" si="17"/>
        <v>#N/A</v>
      </c>
      <c r="AA209" s="170" t="s">
        <v>249</v>
      </c>
      <c r="AB209" s="40">
        <v>15</v>
      </c>
      <c r="AC209" s="40">
        <v>0</v>
      </c>
    </row>
    <row r="210" spans="3:30">
      <c r="C210" s="21"/>
      <c r="D210" s="21"/>
      <c r="E210" s="21"/>
      <c r="F210" s="21"/>
      <c r="G210" s="21"/>
      <c r="H210" s="21"/>
      <c r="I210" s="21"/>
      <c r="J210" s="21"/>
      <c r="K210" s="21"/>
      <c r="L210" s="21"/>
      <c r="S210" s="170" t="s">
        <v>253</v>
      </c>
      <c r="T210" s="171"/>
      <c r="U210" s="171"/>
      <c r="X210" s="40" t="e">
        <f t="shared" si="15"/>
        <v>#N/A</v>
      </c>
      <c r="Y210" s="40" t="e">
        <f t="shared" si="16"/>
        <v>#N/A</v>
      </c>
      <c r="Z210" s="40" t="e">
        <f t="shared" si="17"/>
        <v>#N/A</v>
      </c>
      <c r="AA210" s="170" t="s">
        <v>250</v>
      </c>
      <c r="AB210" s="40">
        <v>4.5</v>
      </c>
      <c r="AC210" s="40">
        <v>0.28400000929832458</v>
      </c>
    </row>
    <row r="211" spans="3:30">
      <c r="C211" s="21"/>
      <c r="D211" s="21"/>
      <c r="E211" s="21"/>
      <c r="F211" s="21"/>
      <c r="G211" s="21"/>
      <c r="H211" s="21"/>
      <c r="I211" s="21"/>
      <c r="J211" s="21"/>
      <c r="K211" s="21"/>
      <c r="L211" s="21"/>
      <c r="S211" s="170" t="s">
        <v>254</v>
      </c>
      <c r="T211" s="171"/>
      <c r="U211" s="171"/>
      <c r="X211" s="40" t="e">
        <f t="shared" si="15"/>
        <v>#N/A</v>
      </c>
      <c r="Y211" s="40" t="e">
        <f t="shared" si="16"/>
        <v>#N/A</v>
      </c>
      <c r="Z211" s="40" t="e">
        <f t="shared" si="17"/>
        <v>#N/A</v>
      </c>
      <c r="AA211" s="170" t="s">
        <v>251</v>
      </c>
      <c r="AB211" s="40">
        <v>4.5</v>
      </c>
      <c r="AC211" s="40">
        <v>2.8999999165534973E-2</v>
      </c>
    </row>
    <row r="212" spans="3:30">
      <c r="C212" s="21"/>
      <c r="D212" s="21"/>
      <c r="E212" s="21"/>
      <c r="F212" s="21"/>
      <c r="G212" s="21"/>
      <c r="H212" s="21"/>
      <c r="I212" s="21"/>
      <c r="J212" s="21"/>
      <c r="K212" s="21"/>
      <c r="L212" s="21"/>
      <c r="S212" s="170" t="s">
        <v>255</v>
      </c>
      <c r="T212" s="171"/>
      <c r="U212" s="171"/>
      <c r="X212" s="40" t="e">
        <f t="shared" si="15"/>
        <v>#N/A</v>
      </c>
      <c r="Y212" s="40" t="e">
        <f t="shared" si="16"/>
        <v>#N/A</v>
      </c>
      <c r="Z212" s="40" t="e">
        <f t="shared" si="17"/>
        <v>#N/A</v>
      </c>
      <c r="AA212" s="170" t="s">
        <v>252</v>
      </c>
      <c r="AB212" s="40">
        <v>4.5</v>
      </c>
      <c r="AC212" s="40">
        <v>0</v>
      </c>
    </row>
    <row r="213" spans="3:30">
      <c r="C213" s="21"/>
      <c r="D213" s="21"/>
      <c r="E213" s="21"/>
      <c r="F213" s="21"/>
      <c r="G213" s="21"/>
      <c r="H213" s="21"/>
      <c r="I213" s="21"/>
      <c r="J213" s="21"/>
      <c r="K213" s="21"/>
      <c r="L213" s="21"/>
      <c r="S213" s="170" t="s">
        <v>256</v>
      </c>
      <c r="T213" s="171"/>
      <c r="U213" s="171"/>
      <c r="X213" s="40" t="e">
        <f t="shared" si="15"/>
        <v>#N/A</v>
      </c>
      <c r="Y213" s="40" t="e">
        <f t="shared" si="16"/>
        <v>#N/A</v>
      </c>
      <c r="Z213" s="40" t="e">
        <f t="shared" si="17"/>
        <v>#N/A</v>
      </c>
      <c r="AA213" s="170" t="s">
        <v>253</v>
      </c>
      <c r="AB213" s="40">
        <v>-15.38700008392334</v>
      </c>
      <c r="AC213" s="40">
        <v>41.199001312255859</v>
      </c>
    </row>
    <row r="214" spans="3:30">
      <c r="C214" s="21"/>
      <c r="D214" s="21"/>
      <c r="E214" s="21"/>
      <c r="F214" s="21"/>
      <c r="G214" s="21"/>
      <c r="H214" s="21"/>
      <c r="I214" s="21"/>
      <c r="J214" s="21"/>
      <c r="K214" s="21"/>
      <c r="L214" s="21"/>
      <c r="S214" s="170" t="s">
        <v>257</v>
      </c>
      <c r="T214" s="171"/>
      <c r="U214" s="171"/>
      <c r="X214" s="40" t="e">
        <f t="shared" si="15"/>
        <v>#N/A</v>
      </c>
      <c r="Y214" s="40" t="e">
        <f t="shared" si="16"/>
        <v>#N/A</v>
      </c>
      <c r="Z214" s="40" t="e">
        <f t="shared" si="17"/>
        <v>#N/A</v>
      </c>
      <c r="AA214" s="170" t="s">
        <v>254</v>
      </c>
      <c r="AB214" s="40">
        <v>-11.399999618530273</v>
      </c>
      <c r="AC214" s="40">
        <v>2.434999942779541</v>
      </c>
    </row>
    <row r="215" spans="3:30">
      <c r="C215" s="21"/>
      <c r="D215" s="21"/>
      <c r="E215" s="21"/>
      <c r="F215" s="21"/>
      <c r="G215" s="21"/>
      <c r="H215" s="21"/>
      <c r="I215" s="21"/>
      <c r="J215" s="21"/>
      <c r="K215" s="21"/>
      <c r="L215" s="21"/>
      <c r="S215" s="170" t="s">
        <v>258</v>
      </c>
      <c r="T215" s="171"/>
      <c r="U215" s="171"/>
      <c r="X215" s="40" t="e">
        <f t="shared" si="15"/>
        <v>#N/A</v>
      </c>
      <c r="Y215" s="40" t="e">
        <f t="shared" si="16"/>
        <v>#N/A</v>
      </c>
      <c r="Z215" s="40" t="e">
        <f t="shared" si="17"/>
        <v>#N/A</v>
      </c>
      <c r="AA215" s="170" t="s">
        <v>255</v>
      </c>
      <c r="AB215" s="40">
        <v>-11.399999618530273</v>
      </c>
      <c r="AC215" s="40">
        <v>2.1800000667572021</v>
      </c>
    </row>
    <row r="216" spans="3:30">
      <c r="C216" s="21"/>
      <c r="D216" s="21"/>
      <c r="E216" s="21"/>
      <c r="F216" s="21"/>
      <c r="G216" s="21"/>
      <c r="H216" s="21"/>
      <c r="I216" s="21"/>
      <c r="J216" s="21"/>
      <c r="K216" s="21"/>
      <c r="L216" s="21"/>
      <c r="S216" s="170" t="s">
        <v>259</v>
      </c>
      <c r="T216" s="171"/>
      <c r="U216" s="171"/>
      <c r="X216" s="40" t="e">
        <f t="shared" si="15"/>
        <v>#N/A</v>
      </c>
      <c r="Y216" s="40" t="e">
        <f t="shared" si="16"/>
        <v>#N/A</v>
      </c>
      <c r="Z216" s="40" t="e">
        <f t="shared" si="17"/>
        <v>#N/A</v>
      </c>
      <c r="AA216" s="170" t="s">
        <v>256</v>
      </c>
      <c r="AB216" s="40">
        <v>-11.399999618530273</v>
      </c>
      <c r="AC216" s="40">
        <v>2.1500000953674316</v>
      </c>
    </row>
    <row r="217" spans="3:30">
      <c r="C217" s="21"/>
      <c r="D217" s="21"/>
      <c r="E217" s="21"/>
      <c r="F217" s="21"/>
      <c r="G217" s="21"/>
      <c r="H217" s="21"/>
      <c r="I217" s="21"/>
      <c r="J217" s="21"/>
      <c r="K217" s="21"/>
      <c r="L217" s="21"/>
      <c r="S217" s="170" t="s">
        <v>260</v>
      </c>
      <c r="T217" s="171">
        <v>0</v>
      </c>
      <c r="U217" s="171">
        <v>0</v>
      </c>
      <c r="X217" s="40" t="e">
        <f t="shared" si="15"/>
        <v>#N/A</v>
      </c>
      <c r="Y217" s="40" t="e">
        <f t="shared" si="16"/>
        <v>#N/A</v>
      </c>
      <c r="Z217" s="40" t="e">
        <f t="shared" si="17"/>
        <v>#N/A</v>
      </c>
      <c r="AA217" s="170" t="s">
        <v>257</v>
      </c>
      <c r="AB217" s="40">
        <v>0</v>
      </c>
      <c r="AC217" s="40">
        <v>-0.28400000929832458</v>
      </c>
    </row>
    <row r="218" spans="3:30">
      <c r="C218" s="21"/>
      <c r="D218" s="21"/>
      <c r="E218" s="21"/>
      <c r="F218" s="21"/>
      <c r="G218" s="21"/>
      <c r="H218" s="21"/>
      <c r="I218" s="21"/>
      <c r="J218" s="21"/>
      <c r="K218" s="21"/>
      <c r="L218" s="21"/>
      <c r="S218" s="170" t="s">
        <v>261</v>
      </c>
      <c r="T218" s="171">
        <v>0</v>
      </c>
      <c r="U218" s="171">
        <v>0</v>
      </c>
      <c r="X218" s="40" t="e">
        <f t="shared" si="15"/>
        <v>#N/A</v>
      </c>
      <c r="Y218" s="40" t="e">
        <f t="shared" si="16"/>
        <v>#N/A</v>
      </c>
      <c r="Z218" s="40" t="e">
        <f t="shared" si="17"/>
        <v>#N/A</v>
      </c>
      <c r="AA218" s="170" t="s">
        <v>258</v>
      </c>
      <c r="AB218" s="40">
        <v>0</v>
      </c>
      <c r="AC218" s="40">
        <v>-2.8999999165534973E-2</v>
      </c>
      <c r="AD218" s="40" t="s">
        <v>262</v>
      </c>
    </row>
    <row r="219" spans="3:30">
      <c r="C219" s="21"/>
      <c r="D219" s="21"/>
      <c r="E219" s="21"/>
      <c r="F219" s="21"/>
      <c r="G219" s="21"/>
      <c r="H219" s="21"/>
      <c r="I219" s="21"/>
      <c r="J219" s="21"/>
      <c r="K219" s="21"/>
      <c r="L219" s="21"/>
      <c r="S219" s="170" t="s">
        <v>263</v>
      </c>
      <c r="T219" s="171">
        <v>0</v>
      </c>
      <c r="U219" s="171">
        <v>0</v>
      </c>
      <c r="X219" s="40" t="e">
        <f t="shared" si="15"/>
        <v>#N/A</v>
      </c>
      <c r="Y219" s="40" t="e">
        <f t="shared" si="16"/>
        <v>#N/A</v>
      </c>
      <c r="Z219" s="40" t="e">
        <f t="shared" si="17"/>
        <v>#N/A</v>
      </c>
      <c r="AA219" s="170" t="s">
        <v>259</v>
      </c>
      <c r="AB219" s="40">
        <v>0</v>
      </c>
      <c r="AC219" s="40">
        <v>0</v>
      </c>
      <c r="AD219" s="170" t="s">
        <v>264</v>
      </c>
    </row>
    <row r="220" spans="3:30">
      <c r="C220" s="21"/>
      <c r="D220" s="21"/>
      <c r="E220" s="21"/>
      <c r="F220" s="21"/>
      <c r="G220" s="21"/>
      <c r="H220" s="21"/>
      <c r="I220" s="21"/>
      <c r="J220" s="21"/>
      <c r="K220" s="21"/>
      <c r="L220" s="21"/>
      <c r="S220" s="170" t="s">
        <v>265</v>
      </c>
      <c r="T220" s="171">
        <v>0</v>
      </c>
      <c r="U220" s="171">
        <v>0</v>
      </c>
      <c r="X220" s="40" t="e">
        <f t="shared" si="15"/>
        <v>#N/A</v>
      </c>
      <c r="Y220" s="40" t="e">
        <f t="shared" si="16"/>
        <v>#N/A</v>
      </c>
      <c r="Z220" s="40" t="e">
        <f t="shared" si="17"/>
        <v>#N/A</v>
      </c>
      <c r="AA220" s="170" t="s">
        <v>260</v>
      </c>
      <c r="AB220" s="40">
        <v>-5.4169998168945313</v>
      </c>
      <c r="AC220" s="40">
        <v>-10.241999626159668</v>
      </c>
      <c r="AD220" s="170" t="s">
        <v>266</v>
      </c>
    </row>
    <row r="221" spans="3:30">
      <c r="C221" s="21"/>
      <c r="D221" s="21"/>
      <c r="E221" s="21"/>
      <c r="F221" s="21"/>
      <c r="G221" s="21"/>
      <c r="H221" s="21"/>
      <c r="I221" s="21"/>
      <c r="J221" s="21"/>
      <c r="K221" s="21"/>
      <c r="L221" s="21"/>
      <c r="S221" s="170" t="s">
        <v>267</v>
      </c>
      <c r="T221" s="171">
        <v>0</v>
      </c>
      <c r="U221" s="171">
        <v>0</v>
      </c>
      <c r="X221" s="40">
        <f t="shared" ref="X221:X258" si="18">_xlfn.IFNA(1, IF(AND(Y222=0,Z222=0), 1, 0))</f>
        <v>1</v>
      </c>
      <c r="Y221" s="40" t="e">
        <f t="shared" si="16"/>
        <v>#N/A</v>
      </c>
      <c r="Z221" s="40" t="e">
        <f t="shared" si="17"/>
        <v>#N/A</v>
      </c>
      <c r="AA221" s="170" t="s">
        <v>261</v>
      </c>
      <c r="AB221" s="40">
        <v>-5.4200000762939453</v>
      </c>
      <c r="AC221" s="40">
        <v>-10.534999847412109</v>
      </c>
      <c r="AD221" s="170" t="s">
        <v>268</v>
      </c>
    </row>
    <row r="222" spans="3:30">
      <c r="C222" s="142"/>
      <c r="D222" s="21"/>
      <c r="E222" s="21"/>
      <c r="F222" s="21"/>
      <c r="G222" s="21"/>
      <c r="H222" s="21"/>
      <c r="I222" s="21"/>
      <c r="J222" s="21"/>
      <c r="K222" s="21"/>
      <c r="L222" s="21"/>
      <c r="S222" s="170" t="s">
        <v>269</v>
      </c>
      <c r="T222" s="171">
        <v>0</v>
      </c>
      <c r="U222" s="171">
        <v>0</v>
      </c>
      <c r="X222" s="40">
        <f t="shared" si="18"/>
        <v>1</v>
      </c>
      <c r="Y222" s="40" t="e">
        <f t="shared" si="16"/>
        <v>#N/A</v>
      </c>
      <c r="Z222" s="40" t="e">
        <f t="shared" si="17"/>
        <v>#N/A</v>
      </c>
      <c r="AA222" s="170" t="s">
        <v>263</v>
      </c>
    </row>
    <row r="223" spans="3:30">
      <c r="C223" s="142"/>
      <c r="D223" s="21"/>
      <c r="E223" s="21"/>
      <c r="F223" s="21"/>
      <c r="G223" s="21"/>
      <c r="H223" s="21"/>
      <c r="I223" s="21"/>
      <c r="J223" s="21"/>
      <c r="K223" s="21"/>
      <c r="L223" s="21"/>
      <c r="S223" s="170" t="s">
        <v>270</v>
      </c>
      <c r="T223" s="171">
        <v>0</v>
      </c>
      <c r="U223" s="171">
        <v>0</v>
      </c>
      <c r="X223" s="40">
        <f t="shared" si="18"/>
        <v>1</v>
      </c>
      <c r="Y223" s="40" t="e">
        <f t="shared" si="16"/>
        <v>#N/A</v>
      </c>
      <c r="Z223" s="40" t="e">
        <f t="shared" si="17"/>
        <v>#N/A</v>
      </c>
      <c r="AA223" s="170" t="s">
        <v>265</v>
      </c>
    </row>
    <row r="224" spans="3:30">
      <c r="C224" s="21"/>
      <c r="D224" s="21"/>
      <c r="E224" s="21"/>
      <c r="F224" s="21"/>
      <c r="G224" s="21"/>
      <c r="H224" s="21"/>
      <c r="I224" s="21"/>
      <c r="J224" s="21"/>
      <c r="K224" s="21"/>
      <c r="L224" s="21"/>
      <c r="S224" s="170" t="s">
        <v>271</v>
      </c>
      <c r="T224" s="171">
        <v>0</v>
      </c>
      <c r="U224" s="171">
        <v>0</v>
      </c>
      <c r="X224" s="40">
        <f t="shared" si="18"/>
        <v>1</v>
      </c>
      <c r="Y224" s="40" t="e">
        <f t="shared" si="16"/>
        <v>#N/A</v>
      </c>
      <c r="Z224" s="40" t="e">
        <f t="shared" si="17"/>
        <v>#N/A</v>
      </c>
      <c r="AA224" s="170" t="s">
        <v>267</v>
      </c>
    </row>
    <row r="225" spans="3:27">
      <c r="C225" s="21"/>
      <c r="D225" s="21"/>
      <c r="E225" s="21"/>
      <c r="F225" s="21"/>
      <c r="G225" s="21"/>
      <c r="H225" s="21"/>
      <c r="I225" s="21"/>
      <c r="J225" s="21"/>
      <c r="K225" s="21"/>
      <c r="L225" s="21"/>
      <c r="S225" s="170" t="s">
        <v>272</v>
      </c>
      <c r="T225" s="171">
        <v>0</v>
      </c>
      <c r="U225" s="171">
        <v>0</v>
      </c>
      <c r="X225" s="40">
        <f t="shared" si="18"/>
        <v>1</v>
      </c>
      <c r="Y225" s="40" t="e">
        <f t="shared" si="16"/>
        <v>#N/A</v>
      </c>
      <c r="Z225" s="40" t="e">
        <f t="shared" si="17"/>
        <v>#N/A</v>
      </c>
      <c r="AA225" s="170" t="s">
        <v>269</v>
      </c>
    </row>
    <row r="226" spans="3:27">
      <c r="C226" s="13"/>
      <c r="D226" s="21"/>
      <c r="E226" s="21"/>
      <c r="F226" s="21"/>
      <c r="G226" s="21"/>
      <c r="H226" s="21"/>
      <c r="I226" s="21"/>
      <c r="J226" s="21"/>
      <c r="K226" s="21"/>
      <c r="L226" s="21"/>
      <c r="S226" s="170" t="s">
        <v>273</v>
      </c>
      <c r="T226" s="171">
        <v>0</v>
      </c>
      <c r="U226" s="171">
        <v>0</v>
      </c>
      <c r="X226" s="40">
        <f t="shared" si="18"/>
        <v>1</v>
      </c>
      <c r="Y226" s="40" t="e">
        <f t="shared" si="16"/>
        <v>#N/A</v>
      </c>
      <c r="Z226" s="40" t="e">
        <f t="shared" si="17"/>
        <v>#N/A</v>
      </c>
      <c r="AA226" s="170" t="s">
        <v>270</v>
      </c>
    </row>
    <row r="227" spans="3:27">
      <c r="C227" s="21"/>
      <c r="D227" s="21"/>
      <c r="E227" s="21"/>
      <c r="F227" s="21"/>
      <c r="G227" s="21"/>
      <c r="H227" s="21"/>
      <c r="I227" s="21"/>
      <c r="J227" s="21"/>
      <c r="K227" s="21"/>
      <c r="L227" s="21"/>
      <c r="S227" s="170" t="s">
        <v>274</v>
      </c>
      <c r="T227" s="171">
        <v>0</v>
      </c>
      <c r="U227" s="171">
        <v>0</v>
      </c>
      <c r="X227" s="40">
        <f t="shared" si="18"/>
        <v>1</v>
      </c>
      <c r="Y227" s="40" t="e">
        <f t="shared" si="16"/>
        <v>#N/A</v>
      </c>
      <c r="Z227" s="40" t="e">
        <f t="shared" si="17"/>
        <v>#N/A</v>
      </c>
      <c r="AA227" s="170" t="s">
        <v>271</v>
      </c>
    </row>
    <row r="228" spans="3:27">
      <c r="C228" s="21"/>
      <c r="D228" s="21"/>
      <c r="E228" s="21"/>
      <c r="F228" s="21"/>
      <c r="G228" s="21"/>
      <c r="H228" s="21"/>
      <c r="I228" s="21"/>
      <c r="J228" s="21"/>
      <c r="K228" s="21"/>
      <c r="L228" s="21"/>
      <c r="S228" s="170" t="s">
        <v>275</v>
      </c>
      <c r="T228" s="171">
        <v>0</v>
      </c>
      <c r="U228" s="171">
        <v>0</v>
      </c>
      <c r="X228" s="40">
        <f t="shared" si="18"/>
        <v>1</v>
      </c>
      <c r="Y228" s="40" t="e">
        <f t="shared" si="16"/>
        <v>#N/A</v>
      </c>
      <c r="Z228" s="40" t="e">
        <f t="shared" si="17"/>
        <v>#N/A</v>
      </c>
      <c r="AA228" s="170" t="s">
        <v>272</v>
      </c>
    </row>
    <row r="229" spans="3:27">
      <c r="C229" s="21"/>
      <c r="D229" s="21"/>
      <c r="E229" s="21"/>
      <c r="F229" s="21"/>
      <c r="G229" s="21"/>
      <c r="H229" s="21"/>
      <c r="I229" s="21"/>
      <c r="J229" s="21"/>
      <c r="K229" s="21"/>
      <c r="L229" s="21"/>
      <c r="S229" s="170" t="s">
        <v>276</v>
      </c>
      <c r="T229" s="171">
        <v>0</v>
      </c>
      <c r="U229" s="171">
        <v>0</v>
      </c>
      <c r="X229" s="40">
        <f t="shared" si="18"/>
        <v>1</v>
      </c>
      <c r="Y229" s="40" t="e">
        <f t="shared" si="16"/>
        <v>#N/A</v>
      </c>
      <c r="Z229" s="40" t="e">
        <f t="shared" si="17"/>
        <v>#N/A</v>
      </c>
      <c r="AA229" s="170" t="s">
        <v>273</v>
      </c>
    </row>
    <row r="230" spans="3:27">
      <c r="C230" s="21"/>
      <c r="D230" s="21"/>
      <c r="E230" s="21"/>
      <c r="F230" s="21"/>
      <c r="G230" s="21"/>
      <c r="H230" s="21"/>
      <c r="I230" s="21"/>
      <c r="J230" s="21"/>
      <c r="K230" s="21"/>
      <c r="L230" s="21"/>
      <c r="S230" s="170" t="s">
        <v>277</v>
      </c>
      <c r="T230" s="171">
        <v>0</v>
      </c>
      <c r="U230" s="171">
        <v>0</v>
      </c>
      <c r="X230" s="40">
        <f t="shared" si="18"/>
        <v>1</v>
      </c>
      <c r="Y230" s="40" t="e">
        <f t="shared" si="16"/>
        <v>#N/A</v>
      </c>
      <c r="Z230" s="40" t="e">
        <f t="shared" si="17"/>
        <v>#N/A</v>
      </c>
      <c r="AA230" s="170" t="s">
        <v>274</v>
      </c>
    </row>
    <row r="231" spans="3:27">
      <c r="C231" s="21"/>
      <c r="D231" s="21"/>
      <c r="E231" s="21"/>
      <c r="F231" s="21"/>
      <c r="G231" s="21"/>
      <c r="H231" s="21"/>
      <c r="I231" s="21"/>
      <c r="J231" s="21"/>
      <c r="K231" s="21"/>
      <c r="L231" s="21"/>
      <c r="S231" s="170" t="s">
        <v>278</v>
      </c>
      <c r="T231" s="171">
        <v>0</v>
      </c>
      <c r="U231" s="171">
        <v>0</v>
      </c>
      <c r="X231" s="40">
        <f t="shared" si="18"/>
        <v>1</v>
      </c>
      <c r="Y231" s="40" t="e">
        <f t="shared" si="16"/>
        <v>#N/A</v>
      </c>
      <c r="Z231" s="40" t="e">
        <f t="shared" si="17"/>
        <v>#N/A</v>
      </c>
      <c r="AA231" s="170" t="s">
        <v>275</v>
      </c>
    </row>
    <row r="232" spans="3:27">
      <c r="C232" s="21"/>
      <c r="D232" s="21"/>
      <c r="E232" s="21"/>
      <c r="F232" s="21"/>
      <c r="G232" s="21"/>
      <c r="H232" s="21"/>
      <c r="I232" s="21"/>
      <c r="J232" s="21"/>
      <c r="K232" s="21"/>
      <c r="L232" s="21"/>
      <c r="S232" s="170" t="s">
        <v>279</v>
      </c>
      <c r="T232" s="171">
        <v>0</v>
      </c>
      <c r="U232" s="171">
        <v>0</v>
      </c>
      <c r="X232" s="40">
        <f t="shared" si="18"/>
        <v>1</v>
      </c>
      <c r="Y232" s="40" t="e">
        <f t="shared" si="16"/>
        <v>#N/A</v>
      </c>
      <c r="Z232" s="40" t="e">
        <f t="shared" si="17"/>
        <v>#N/A</v>
      </c>
      <c r="AA232" s="170" t="s">
        <v>276</v>
      </c>
    </row>
    <row r="233" spans="3:27">
      <c r="C233" s="21"/>
      <c r="D233" s="21"/>
      <c r="E233" s="21"/>
      <c r="F233" s="21"/>
      <c r="G233" s="21"/>
      <c r="H233" s="21"/>
      <c r="I233" s="21"/>
      <c r="J233" s="21"/>
      <c r="K233" s="21"/>
      <c r="L233" s="21"/>
      <c r="S233" s="170" t="s">
        <v>280</v>
      </c>
      <c r="T233" s="171">
        <v>0</v>
      </c>
      <c r="U233" s="171">
        <v>0</v>
      </c>
      <c r="X233" s="40">
        <f t="shared" si="18"/>
        <v>1</v>
      </c>
      <c r="Y233" s="40" t="e">
        <f t="shared" si="16"/>
        <v>#N/A</v>
      </c>
      <c r="Z233" s="40" t="e">
        <f t="shared" si="17"/>
        <v>#N/A</v>
      </c>
      <c r="AA233" s="170" t="s">
        <v>277</v>
      </c>
    </row>
    <row r="234" spans="3:27">
      <c r="C234" s="21"/>
      <c r="D234" s="21"/>
      <c r="E234" s="21"/>
      <c r="F234" s="21"/>
      <c r="G234" s="21"/>
      <c r="H234" s="21"/>
      <c r="I234" s="21"/>
      <c r="J234" s="21"/>
      <c r="K234" s="21"/>
      <c r="L234" s="21"/>
      <c r="S234" s="170" t="s">
        <v>281</v>
      </c>
      <c r="T234" s="171">
        <v>0</v>
      </c>
      <c r="U234" s="171">
        <v>0</v>
      </c>
      <c r="X234" s="40">
        <f t="shared" si="18"/>
        <v>1</v>
      </c>
      <c r="Y234" s="40" t="e">
        <f t="shared" si="16"/>
        <v>#N/A</v>
      </c>
      <c r="Z234" s="40" t="e">
        <f t="shared" si="17"/>
        <v>#N/A</v>
      </c>
      <c r="AA234" s="170" t="s">
        <v>278</v>
      </c>
    </row>
    <row r="235" spans="3:27">
      <c r="C235" s="21"/>
      <c r="D235" s="21"/>
      <c r="E235" s="21"/>
      <c r="F235" s="21"/>
      <c r="G235" s="21"/>
      <c r="H235" s="21"/>
      <c r="I235" s="21"/>
      <c r="J235" s="21"/>
      <c r="K235" s="21"/>
      <c r="L235" s="21"/>
      <c r="S235" s="170" t="s">
        <v>282</v>
      </c>
      <c r="T235" s="171">
        <v>0</v>
      </c>
      <c r="U235" s="171">
        <v>0</v>
      </c>
      <c r="X235" s="40">
        <f t="shared" si="18"/>
        <v>1</v>
      </c>
      <c r="Y235" s="40" t="e">
        <f t="shared" si="16"/>
        <v>#N/A</v>
      </c>
      <c r="Z235" s="40" t="e">
        <f t="shared" si="17"/>
        <v>#N/A</v>
      </c>
      <c r="AA235" s="170" t="s">
        <v>279</v>
      </c>
    </row>
    <row r="236" spans="3:27">
      <c r="C236" s="21"/>
      <c r="D236" s="21"/>
      <c r="E236" s="21"/>
      <c r="F236" s="21"/>
      <c r="G236" s="21"/>
      <c r="H236" s="21"/>
      <c r="I236" s="21"/>
      <c r="J236" s="21"/>
      <c r="K236" s="21"/>
      <c r="L236" s="21"/>
      <c r="S236" s="170" t="s">
        <v>283</v>
      </c>
      <c r="T236" s="171">
        <v>0</v>
      </c>
      <c r="U236" s="171">
        <v>0</v>
      </c>
      <c r="X236" s="40">
        <f t="shared" si="18"/>
        <v>1</v>
      </c>
      <c r="Y236" s="40" t="e">
        <f t="shared" si="16"/>
        <v>#N/A</v>
      </c>
      <c r="Z236" s="40" t="e">
        <f t="shared" si="17"/>
        <v>#N/A</v>
      </c>
      <c r="AA236" s="170" t="s">
        <v>280</v>
      </c>
    </row>
    <row r="237" spans="3:27">
      <c r="C237" s="21"/>
      <c r="D237" s="21"/>
      <c r="E237" s="21"/>
      <c r="F237" s="21"/>
      <c r="G237" s="21"/>
      <c r="H237" s="21"/>
      <c r="I237" s="21"/>
      <c r="J237" s="21"/>
      <c r="K237" s="21"/>
      <c r="L237" s="21"/>
      <c r="S237" s="170" t="s">
        <v>284</v>
      </c>
      <c r="T237" s="171">
        <v>0</v>
      </c>
      <c r="U237" s="171">
        <v>0</v>
      </c>
      <c r="X237" s="40">
        <f t="shared" si="18"/>
        <v>1</v>
      </c>
      <c r="Y237" s="40" t="e">
        <f t="shared" si="16"/>
        <v>#N/A</v>
      </c>
      <c r="Z237" s="40" t="e">
        <f t="shared" si="17"/>
        <v>#N/A</v>
      </c>
      <c r="AA237" s="170" t="s">
        <v>281</v>
      </c>
    </row>
    <row r="238" spans="3:27">
      <c r="C238" s="21"/>
      <c r="D238" s="21"/>
      <c r="E238" s="21"/>
      <c r="F238" s="21"/>
      <c r="G238" s="21"/>
      <c r="H238" s="21"/>
      <c r="I238" s="21"/>
      <c r="J238" s="21"/>
      <c r="K238" s="21"/>
      <c r="L238" s="21"/>
      <c r="S238" s="170" t="s">
        <v>285</v>
      </c>
      <c r="T238" s="171">
        <v>0</v>
      </c>
      <c r="U238" s="171">
        <v>0</v>
      </c>
      <c r="X238" s="40">
        <f t="shared" si="18"/>
        <v>1</v>
      </c>
      <c r="Y238" s="40" t="e">
        <f t="shared" si="16"/>
        <v>#N/A</v>
      </c>
      <c r="Z238" s="40" t="e">
        <f t="shared" si="17"/>
        <v>#N/A</v>
      </c>
      <c r="AA238" s="170" t="s">
        <v>282</v>
      </c>
    </row>
    <row r="239" spans="3:27">
      <c r="C239" s="21"/>
      <c r="D239" s="21"/>
      <c r="E239" s="21"/>
      <c r="F239" s="21"/>
      <c r="G239" s="21"/>
      <c r="H239" s="21"/>
      <c r="I239" s="21"/>
      <c r="J239" s="21"/>
      <c r="K239" s="21"/>
      <c r="L239" s="21"/>
      <c r="S239" s="170" t="s">
        <v>286</v>
      </c>
      <c r="T239" s="171">
        <v>0</v>
      </c>
      <c r="U239" s="171">
        <v>0</v>
      </c>
      <c r="X239" s="40">
        <f t="shared" si="18"/>
        <v>1</v>
      </c>
      <c r="Y239" s="40" t="e">
        <f t="shared" si="16"/>
        <v>#N/A</v>
      </c>
      <c r="Z239" s="40" t="e">
        <f t="shared" si="17"/>
        <v>#N/A</v>
      </c>
      <c r="AA239" s="170" t="s">
        <v>283</v>
      </c>
    </row>
    <row r="240" spans="3:27">
      <c r="C240" s="21"/>
      <c r="D240" s="21"/>
      <c r="E240" s="21"/>
      <c r="F240" s="21"/>
      <c r="G240" s="21"/>
      <c r="H240" s="21"/>
      <c r="I240" s="21"/>
      <c r="J240" s="21"/>
      <c r="K240" s="21"/>
      <c r="L240" s="21"/>
      <c r="S240" s="170" t="s">
        <v>287</v>
      </c>
      <c r="T240" s="171">
        <v>0</v>
      </c>
      <c r="U240" s="171">
        <v>0</v>
      </c>
      <c r="X240" s="40">
        <f t="shared" si="18"/>
        <v>1</v>
      </c>
      <c r="Y240" s="40" t="e">
        <f t="shared" si="16"/>
        <v>#N/A</v>
      </c>
      <c r="Z240" s="40" t="e">
        <f t="shared" si="17"/>
        <v>#N/A</v>
      </c>
      <c r="AA240" s="170" t="s">
        <v>284</v>
      </c>
    </row>
    <row r="241" spans="3:27">
      <c r="C241" s="21"/>
      <c r="D241" s="21"/>
      <c r="E241" s="21"/>
      <c r="F241" s="21"/>
      <c r="G241" s="21"/>
      <c r="H241" s="21"/>
      <c r="I241" s="21"/>
      <c r="J241" s="21"/>
      <c r="K241" s="21"/>
      <c r="L241" s="21"/>
      <c r="S241" s="170" t="s">
        <v>288</v>
      </c>
      <c r="T241" s="171">
        <v>0</v>
      </c>
      <c r="U241" s="171">
        <v>0</v>
      </c>
      <c r="X241" s="40">
        <f t="shared" si="18"/>
        <v>1</v>
      </c>
      <c r="Y241" s="40" t="e">
        <f t="shared" si="16"/>
        <v>#N/A</v>
      </c>
      <c r="Z241" s="40" t="e">
        <f t="shared" si="17"/>
        <v>#N/A</v>
      </c>
      <c r="AA241" s="170" t="s">
        <v>285</v>
      </c>
    </row>
    <row r="242" spans="3:27">
      <c r="C242" s="21"/>
      <c r="D242" s="21"/>
      <c r="E242" s="21"/>
      <c r="F242" s="21"/>
      <c r="G242" s="21"/>
      <c r="H242" s="21"/>
      <c r="I242" s="21"/>
      <c r="J242" s="21"/>
      <c r="K242" s="21"/>
      <c r="L242" s="21"/>
      <c r="S242" s="170" t="s">
        <v>289</v>
      </c>
      <c r="T242" s="171">
        <v>0</v>
      </c>
      <c r="U242" s="171">
        <v>0</v>
      </c>
      <c r="X242" s="40">
        <f t="shared" si="18"/>
        <v>1</v>
      </c>
      <c r="Y242" s="40" t="e">
        <f t="shared" si="16"/>
        <v>#N/A</v>
      </c>
      <c r="Z242" s="40" t="e">
        <f t="shared" si="17"/>
        <v>#N/A</v>
      </c>
      <c r="AA242" s="170" t="s">
        <v>286</v>
      </c>
    </row>
    <row r="243" spans="3:27">
      <c r="C243" s="21"/>
      <c r="D243" s="21"/>
      <c r="E243" s="21"/>
      <c r="F243" s="21"/>
      <c r="G243" s="21"/>
      <c r="H243" s="21"/>
      <c r="I243" s="21"/>
      <c r="J243" s="21"/>
      <c r="K243" s="21"/>
      <c r="L243" s="21"/>
      <c r="S243" s="170" t="s">
        <v>290</v>
      </c>
      <c r="T243" s="171">
        <v>0</v>
      </c>
      <c r="U243" s="171">
        <v>0</v>
      </c>
      <c r="X243" s="40">
        <f t="shared" si="18"/>
        <v>1</v>
      </c>
      <c r="Y243" s="40" t="e">
        <f t="shared" si="16"/>
        <v>#N/A</v>
      </c>
      <c r="Z243" s="40" t="e">
        <f t="shared" si="17"/>
        <v>#N/A</v>
      </c>
      <c r="AA243" s="170" t="s">
        <v>287</v>
      </c>
    </row>
    <row r="244" spans="3:27">
      <c r="C244" s="21"/>
      <c r="D244" s="21"/>
      <c r="E244" s="21"/>
      <c r="F244" s="21"/>
      <c r="G244" s="21"/>
      <c r="H244" s="21"/>
      <c r="I244" s="21"/>
      <c r="J244" s="21"/>
      <c r="K244" s="21"/>
      <c r="L244" s="21"/>
      <c r="S244" s="170" t="s">
        <v>291</v>
      </c>
      <c r="T244" s="171">
        <v>0</v>
      </c>
      <c r="U244" s="171">
        <v>0</v>
      </c>
      <c r="X244" s="40">
        <f t="shared" si="18"/>
        <v>1</v>
      </c>
      <c r="Y244" s="40" t="e">
        <f t="shared" si="16"/>
        <v>#N/A</v>
      </c>
      <c r="Z244" s="40" t="e">
        <f t="shared" si="17"/>
        <v>#N/A</v>
      </c>
      <c r="AA244" s="170" t="s">
        <v>288</v>
      </c>
    </row>
    <row r="245" spans="3:27">
      <c r="C245" s="21"/>
      <c r="D245" s="21"/>
      <c r="E245" s="21"/>
      <c r="F245" s="21"/>
      <c r="G245" s="21"/>
      <c r="H245" s="21"/>
      <c r="I245" s="21"/>
      <c r="J245" s="21"/>
      <c r="K245" s="21"/>
      <c r="L245" s="21"/>
      <c r="S245" s="170" t="s">
        <v>292</v>
      </c>
      <c r="T245" s="171">
        <v>0</v>
      </c>
      <c r="U245" s="171">
        <v>0</v>
      </c>
      <c r="X245" s="40">
        <f t="shared" si="18"/>
        <v>1</v>
      </c>
      <c r="Y245" s="40" t="e">
        <f t="shared" si="16"/>
        <v>#N/A</v>
      </c>
      <c r="Z245" s="40" t="e">
        <f t="shared" si="17"/>
        <v>#N/A</v>
      </c>
      <c r="AA245" s="170" t="s">
        <v>289</v>
      </c>
    </row>
    <row r="246" spans="3:27">
      <c r="C246" s="21"/>
      <c r="D246" s="21"/>
      <c r="E246" s="21"/>
      <c r="F246" s="21"/>
      <c r="G246" s="21"/>
      <c r="H246" s="21"/>
      <c r="I246" s="21"/>
      <c r="J246" s="21"/>
      <c r="K246" s="21"/>
      <c r="L246" s="21"/>
      <c r="S246" s="170" t="s">
        <v>293</v>
      </c>
      <c r="T246" s="171">
        <v>0</v>
      </c>
      <c r="U246" s="171">
        <v>0</v>
      </c>
      <c r="X246" s="40">
        <f t="shared" si="18"/>
        <v>1</v>
      </c>
      <c r="Y246" s="40" t="e">
        <f t="shared" si="16"/>
        <v>#N/A</v>
      </c>
      <c r="Z246" s="40" t="e">
        <f t="shared" si="17"/>
        <v>#N/A</v>
      </c>
      <c r="AA246" s="170" t="s">
        <v>290</v>
      </c>
    </row>
    <row r="247" spans="3:27">
      <c r="C247" s="21"/>
      <c r="D247" s="21"/>
      <c r="E247" s="21"/>
      <c r="F247" s="21"/>
      <c r="G247" s="21"/>
      <c r="H247" s="21"/>
      <c r="I247" s="21"/>
      <c r="J247" s="21"/>
      <c r="K247" s="21"/>
      <c r="L247" s="21"/>
      <c r="S247" s="170" t="s">
        <v>294</v>
      </c>
      <c r="T247" s="171">
        <v>0</v>
      </c>
      <c r="U247" s="171">
        <v>0</v>
      </c>
      <c r="X247" s="40">
        <f t="shared" si="18"/>
        <v>1</v>
      </c>
      <c r="Y247" s="40" t="e">
        <f t="shared" si="16"/>
        <v>#N/A</v>
      </c>
      <c r="Z247" s="40" t="e">
        <f t="shared" si="17"/>
        <v>#N/A</v>
      </c>
      <c r="AA247" s="170" t="s">
        <v>291</v>
      </c>
    </row>
    <row r="248" spans="3:27">
      <c r="C248" s="21"/>
      <c r="D248" s="21"/>
      <c r="E248" s="21"/>
      <c r="F248" s="21"/>
      <c r="G248" s="21"/>
      <c r="H248" s="21"/>
      <c r="I248" s="21"/>
      <c r="J248" s="21"/>
      <c r="K248" s="21"/>
      <c r="L248" s="21"/>
      <c r="S248" s="170" t="s">
        <v>295</v>
      </c>
      <c r="T248" s="171">
        <v>0</v>
      </c>
      <c r="U248" s="171">
        <v>0</v>
      </c>
      <c r="X248" s="40">
        <f t="shared" si="18"/>
        <v>1</v>
      </c>
      <c r="Y248" s="40" t="e">
        <f t="shared" si="16"/>
        <v>#N/A</v>
      </c>
      <c r="Z248" s="40" t="e">
        <f t="shared" si="17"/>
        <v>#N/A</v>
      </c>
      <c r="AA248" s="170" t="s">
        <v>292</v>
      </c>
    </row>
    <row r="249" spans="3:27">
      <c r="C249" s="21"/>
      <c r="D249" s="21"/>
      <c r="E249" s="21"/>
      <c r="F249" s="21"/>
      <c r="G249" s="21"/>
      <c r="H249" s="21"/>
      <c r="I249" s="21"/>
      <c r="J249" s="21"/>
      <c r="K249" s="21"/>
      <c r="L249" s="21"/>
      <c r="S249" s="170" t="s">
        <v>296</v>
      </c>
      <c r="T249" s="171">
        <v>0</v>
      </c>
      <c r="U249" s="171">
        <v>0</v>
      </c>
      <c r="X249" s="40">
        <f t="shared" si="18"/>
        <v>1</v>
      </c>
      <c r="Y249" s="40" t="e">
        <f t="shared" si="16"/>
        <v>#N/A</v>
      </c>
      <c r="Z249" s="40" t="e">
        <f t="shared" si="17"/>
        <v>#N/A</v>
      </c>
      <c r="AA249" s="170" t="s">
        <v>293</v>
      </c>
    </row>
    <row r="250" spans="3:27">
      <c r="C250" s="21"/>
      <c r="D250" s="21"/>
      <c r="E250" s="21"/>
      <c r="F250" s="21"/>
      <c r="G250" s="21"/>
      <c r="H250" s="21"/>
      <c r="I250" s="21"/>
      <c r="J250" s="21"/>
      <c r="K250" s="21"/>
      <c r="L250" s="21"/>
      <c r="S250" s="170" t="s">
        <v>297</v>
      </c>
      <c r="T250" s="171">
        <v>0</v>
      </c>
      <c r="U250" s="171">
        <v>0</v>
      </c>
      <c r="X250" s="40">
        <f t="shared" si="18"/>
        <v>1</v>
      </c>
      <c r="Y250" s="40" t="e">
        <f t="shared" si="16"/>
        <v>#N/A</v>
      </c>
      <c r="Z250" s="40" t="e">
        <f t="shared" si="17"/>
        <v>#N/A</v>
      </c>
      <c r="AA250" s="170" t="s">
        <v>294</v>
      </c>
    </row>
    <row r="251" spans="3:27">
      <c r="C251" s="21"/>
      <c r="D251" s="21"/>
      <c r="E251" s="21"/>
      <c r="F251" s="21"/>
      <c r="G251" s="21"/>
      <c r="H251" s="21"/>
      <c r="I251" s="21"/>
      <c r="J251" s="21"/>
      <c r="K251" s="21"/>
      <c r="L251" s="21"/>
      <c r="S251" s="170" t="s">
        <v>298</v>
      </c>
      <c r="T251" s="171">
        <v>0</v>
      </c>
      <c r="U251" s="171">
        <v>0</v>
      </c>
      <c r="X251" s="40">
        <f t="shared" si="18"/>
        <v>1</v>
      </c>
      <c r="Y251" s="40" t="e">
        <f t="shared" si="16"/>
        <v>#N/A</v>
      </c>
      <c r="Z251" s="40" t="e">
        <f t="shared" si="17"/>
        <v>#N/A</v>
      </c>
      <c r="AA251" s="170" t="s">
        <v>295</v>
      </c>
    </row>
    <row r="252" spans="3:27">
      <c r="C252" s="21"/>
      <c r="D252" s="21"/>
      <c r="E252" s="21"/>
      <c r="F252" s="21"/>
      <c r="G252" s="21"/>
      <c r="H252" s="21"/>
      <c r="I252" s="21"/>
      <c r="J252" s="21"/>
      <c r="K252" s="21"/>
      <c r="L252" s="21"/>
      <c r="S252" s="170" t="s">
        <v>299</v>
      </c>
      <c r="T252" s="171">
        <v>0</v>
      </c>
      <c r="U252" s="171">
        <v>0</v>
      </c>
      <c r="X252" s="40">
        <f t="shared" si="18"/>
        <v>1</v>
      </c>
      <c r="Y252" s="40" t="e">
        <f t="shared" si="16"/>
        <v>#N/A</v>
      </c>
      <c r="Z252" s="40" t="e">
        <f t="shared" si="17"/>
        <v>#N/A</v>
      </c>
      <c r="AA252" s="170" t="s">
        <v>296</v>
      </c>
    </row>
    <row r="253" spans="3:27">
      <c r="C253" s="21"/>
      <c r="D253" s="21"/>
      <c r="E253" s="21"/>
      <c r="F253" s="21"/>
      <c r="G253" s="21"/>
      <c r="H253" s="21"/>
      <c r="I253" s="21"/>
      <c r="J253" s="21"/>
      <c r="K253" s="21"/>
      <c r="L253" s="21"/>
      <c r="S253" s="170" t="s">
        <v>300</v>
      </c>
      <c r="T253" s="171">
        <v>0</v>
      </c>
      <c r="U253" s="171">
        <v>0</v>
      </c>
      <c r="X253" s="40">
        <f t="shared" si="18"/>
        <v>1</v>
      </c>
      <c r="Y253" s="40" t="e">
        <f t="shared" si="16"/>
        <v>#N/A</v>
      </c>
      <c r="Z253" s="40" t="e">
        <f t="shared" si="17"/>
        <v>#N/A</v>
      </c>
      <c r="AA253" s="170" t="s">
        <v>297</v>
      </c>
    </row>
    <row r="254" spans="3:27">
      <c r="C254" s="21"/>
      <c r="D254" s="21"/>
      <c r="E254" s="21"/>
      <c r="F254" s="21"/>
      <c r="G254" s="21"/>
      <c r="H254" s="21"/>
      <c r="I254" s="21"/>
      <c r="J254" s="21"/>
      <c r="K254" s="21"/>
      <c r="L254" s="21"/>
      <c r="S254" s="170" t="s">
        <v>301</v>
      </c>
      <c r="T254" s="171">
        <v>0</v>
      </c>
      <c r="U254" s="171">
        <v>0</v>
      </c>
      <c r="X254" s="40">
        <f t="shared" si="18"/>
        <v>1</v>
      </c>
      <c r="Y254" s="40" t="e">
        <f t="shared" si="16"/>
        <v>#N/A</v>
      </c>
      <c r="Z254" s="40" t="e">
        <f t="shared" si="17"/>
        <v>#N/A</v>
      </c>
      <c r="AA254" s="170" t="s">
        <v>298</v>
      </c>
    </row>
    <row r="255" spans="3:27">
      <c r="C255" s="21"/>
      <c r="D255" s="21"/>
      <c r="E255" s="21"/>
      <c r="F255" s="21"/>
      <c r="G255" s="21"/>
      <c r="H255" s="21"/>
      <c r="I255" s="21"/>
      <c r="J255" s="21"/>
      <c r="K255" s="21"/>
      <c r="L255" s="21"/>
      <c r="S255" s="170" t="s">
        <v>302</v>
      </c>
      <c r="T255" s="171">
        <v>0</v>
      </c>
      <c r="U255" s="171">
        <v>0</v>
      </c>
      <c r="X255" s="40">
        <f t="shared" si="18"/>
        <v>1</v>
      </c>
      <c r="Y255" s="40" t="e">
        <f t="shared" si="16"/>
        <v>#N/A</v>
      </c>
      <c r="Z255" s="40" t="e">
        <f t="shared" si="17"/>
        <v>#N/A</v>
      </c>
      <c r="AA255" s="170" t="s">
        <v>299</v>
      </c>
    </row>
    <row r="256" spans="3:27">
      <c r="C256" s="21"/>
      <c r="D256" s="21"/>
      <c r="E256" s="21"/>
      <c r="F256" s="21"/>
      <c r="G256" s="21"/>
      <c r="H256" s="21"/>
      <c r="I256" s="21"/>
      <c r="J256" s="21"/>
      <c r="K256" s="21"/>
      <c r="L256" s="21"/>
      <c r="S256" s="170" t="s">
        <v>264</v>
      </c>
      <c r="T256" s="171">
        <v>0</v>
      </c>
      <c r="U256" s="171">
        <v>0</v>
      </c>
      <c r="X256" s="40">
        <f t="shared" si="18"/>
        <v>1</v>
      </c>
      <c r="Y256" s="40" t="e">
        <f t="shared" si="16"/>
        <v>#N/A</v>
      </c>
      <c r="Z256" s="40" t="e">
        <f t="shared" si="17"/>
        <v>#N/A</v>
      </c>
      <c r="AA256" s="170" t="s">
        <v>300</v>
      </c>
    </row>
    <row r="257" spans="2:27">
      <c r="C257" s="21"/>
      <c r="D257" s="21"/>
      <c r="E257" s="21"/>
      <c r="F257" s="21"/>
      <c r="G257" s="21"/>
      <c r="H257" s="21"/>
      <c r="I257" s="21"/>
      <c r="J257" s="21"/>
      <c r="K257" s="21"/>
      <c r="L257" s="21"/>
      <c r="S257" s="170" t="s">
        <v>266</v>
      </c>
      <c r="T257" s="171">
        <v>0</v>
      </c>
      <c r="U257" s="171">
        <v>0</v>
      </c>
      <c r="X257" s="40">
        <f t="shared" si="18"/>
        <v>1</v>
      </c>
      <c r="Y257" s="40" t="e">
        <f t="shared" si="16"/>
        <v>#N/A</v>
      </c>
      <c r="Z257" s="40" t="e">
        <f t="shared" si="17"/>
        <v>#N/A</v>
      </c>
      <c r="AA257" s="170" t="s">
        <v>301</v>
      </c>
    </row>
    <row r="258" spans="2:27">
      <c r="C258" s="21"/>
      <c r="D258" s="21"/>
      <c r="E258" s="21"/>
      <c r="F258" s="21"/>
      <c r="G258" s="21"/>
      <c r="H258" s="21"/>
      <c r="I258" s="21"/>
      <c r="J258" s="21"/>
      <c r="K258" s="21"/>
      <c r="L258" s="21"/>
      <c r="S258" s="170" t="s">
        <v>268</v>
      </c>
      <c r="T258" s="171">
        <v>0</v>
      </c>
      <c r="U258" s="171">
        <v>0</v>
      </c>
      <c r="X258" s="40">
        <f t="shared" si="18"/>
        <v>1</v>
      </c>
      <c r="Y258" s="40" t="e">
        <f t="shared" si="16"/>
        <v>#N/A</v>
      </c>
      <c r="Z258" s="40" t="e">
        <f t="shared" si="17"/>
        <v>#N/A</v>
      </c>
      <c r="AA258" s="170" t="s">
        <v>302</v>
      </c>
    </row>
    <row r="259" spans="2:27">
      <c r="C259" s="21"/>
      <c r="D259" s="21"/>
      <c r="E259" s="21"/>
      <c r="F259" s="21"/>
      <c r="G259" s="21"/>
      <c r="H259" s="21"/>
      <c r="I259" s="21"/>
      <c r="J259" s="21"/>
      <c r="K259" s="21"/>
      <c r="L259" s="21"/>
      <c r="Y259" s="40"/>
    </row>
    <row r="260" spans="2:27">
      <c r="C260" s="21"/>
      <c r="D260" s="21"/>
      <c r="E260" s="21"/>
      <c r="F260" s="21"/>
      <c r="G260" s="21"/>
      <c r="H260" s="21"/>
      <c r="I260" s="21"/>
      <c r="J260" s="21"/>
      <c r="K260" s="21"/>
      <c r="L260" s="21"/>
      <c r="Y260" s="40"/>
    </row>
    <row r="261" spans="2:27">
      <c r="C261" s="21"/>
      <c r="D261" s="21"/>
      <c r="E261" s="21"/>
      <c r="F261" s="21"/>
      <c r="G261" s="21"/>
      <c r="H261" s="21"/>
      <c r="I261" s="21"/>
      <c r="J261" s="21"/>
      <c r="K261" s="21"/>
      <c r="L261" s="21"/>
      <c r="Y261" s="40"/>
    </row>
    <row r="262" spans="2:27">
      <c r="C262" s="21"/>
      <c r="D262" s="21"/>
      <c r="E262" s="21"/>
      <c r="F262" s="21"/>
      <c r="G262" s="21"/>
      <c r="H262" s="21"/>
      <c r="I262" s="21"/>
      <c r="J262" s="21"/>
      <c r="K262" s="21"/>
      <c r="L262" s="21"/>
      <c r="S262" s="41"/>
    </row>
    <row r="263" spans="2:27">
      <c r="C263" s="21"/>
      <c r="D263" s="21"/>
      <c r="E263" s="21"/>
      <c r="F263" s="21"/>
      <c r="G263" s="21"/>
      <c r="H263" s="21"/>
      <c r="I263" s="21"/>
      <c r="J263" s="21"/>
      <c r="K263" s="21"/>
      <c r="L263" s="21"/>
      <c r="S263" s="41"/>
      <c r="Y263" s="40"/>
    </row>
    <row r="264" spans="2:27">
      <c r="C264" s="21"/>
      <c r="D264" s="21"/>
      <c r="E264" s="21"/>
      <c r="F264" s="21"/>
      <c r="G264" s="21"/>
      <c r="H264" s="21"/>
      <c r="I264" s="21"/>
      <c r="J264" s="21"/>
      <c r="K264" s="21"/>
      <c r="L264" s="21"/>
      <c r="S264" s="41"/>
      <c r="Y264" s="40"/>
    </row>
    <row r="265" spans="2:27">
      <c r="B265" s="40"/>
      <c r="C265" s="40"/>
      <c r="D265" s="40"/>
      <c r="E265" s="40"/>
      <c r="F265" s="40"/>
      <c r="G265" s="40"/>
      <c r="H265" s="40"/>
      <c r="I265" s="40"/>
      <c r="J265" s="40"/>
      <c r="K265" s="40"/>
      <c r="L265" s="40"/>
      <c r="M265" s="40"/>
      <c r="S265" s="41"/>
      <c r="Y265" s="40"/>
    </row>
    <row r="266" spans="2:27">
      <c r="B266" s="40"/>
      <c r="C266" s="40"/>
      <c r="D266" s="40"/>
      <c r="E266" s="40"/>
      <c r="F266" s="40"/>
      <c r="G266" s="40"/>
      <c r="H266" s="40"/>
      <c r="I266" s="40"/>
      <c r="J266" s="40"/>
      <c r="K266" s="40"/>
      <c r="L266" s="40"/>
      <c r="M266" s="40"/>
      <c r="S266" s="41"/>
      <c r="Y266" s="40"/>
    </row>
    <row r="267" spans="2:27">
      <c r="B267" s="40"/>
      <c r="C267" s="40"/>
      <c r="D267" s="40"/>
      <c r="E267" s="40"/>
      <c r="F267" s="40"/>
      <c r="G267" s="40"/>
      <c r="H267" s="40"/>
      <c r="I267" s="40"/>
      <c r="J267" s="40"/>
      <c r="K267" s="40"/>
      <c r="L267" s="40"/>
      <c r="M267" s="40"/>
      <c r="S267" s="41"/>
      <c r="Y267" s="40"/>
    </row>
    <row r="268" spans="2:27">
      <c r="B268" s="40"/>
      <c r="C268" s="40"/>
      <c r="D268" s="40"/>
      <c r="E268" s="40"/>
      <c r="F268" s="40"/>
      <c r="G268" s="40"/>
      <c r="H268" s="40"/>
      <c r="I268" s="40"/>
      <c r="J268" s="40"/>
      <c r="K268" s="40"/>
      <c r="L268" s="40"/>
      <c r="M268" s="40"/>
      <c r="S268" s="41"/>
      <c r="Y268" s="40"/>
    </row>
    <row r="269" spans="2:27">
      <c r="B269" s="40"/>
      <c r="C269" s="40"/>
      <c r="D269" s="40"/>
      <c r="E269" s="40"/>
      <c r="F269" s="40"/>
      <c r="G269" s="40"/>
      <c r="H269" s="40"/>
      <c r="I269" s="40"/>
      <c r="J269" s="40"/>
      <c r="K269" s="40"/>
      <c r="L269" s="40"/>
      <c r="M269" s="40"/>
      <c r="S269" s="41"/>
      <c r="Y269" s="40"/>
    </row>
    <row r="270" spans="2:27">
      <c r="B270" s="40"/>
      <c r="C270" s="40"/>
      <c r="D270" s="40"/>
      <c r="E270" s="40"/>
      <c r="F270" s="40"/>
      <c r="G270" s="40"/>
      <c r="H270" s="40"/>
      <c r="I270" s="40"/>
      <c r="J270" s="40"/>
      <c r="K270" s="40"/>
      <c r="L270" s="40"/>
      <c r="M270" s="40"/>
      <c r="S270" s="41"/>
      <c r="Y270" s="40"/>
    </row>
    <row r="271" spans="2:27">
      <c r="B271" s="40"/>
      <c r="C271" s="40"/>
      <c r="D271" s="40"/>
      <c r="E271" s="40"/>
      <c r="F271" s="40"/>
      <c r="G271" s="40"/>
      <c r="H271" s="40"/>
      <c r="I271" s="40"/>
      <c r="J271" s="40"/>
      <c r="K271" s="40"/>
      <c r="L271" s="40"/>
      <c r="M271" s="40"/>
      <c r="S271" s="41"/>
      <c r="Y271" s="40"/>
    </row>
    <row r="272" spans="2:27">
      <c r="B272" s="40"/>
      <c r="C272" s="40"/>
      <c r="D272" s="40"/>
      <c r="E272" s="40"/>
      <c r="F272" s="40"/>
      <c r="G272" s="40"/>
      <c r="H272" s="40"/>
      <c r="I272" s="40"/>
      <c r="J272" s="40"/>
      <c r="K272" s="40"/>
      <c r="L272" s="40"/>
      <c r="M272" s="40"/>
      <c r="S272" s="41"/>
      <c r="Y272" s="40"/>
    </row>
    <row r="273" spans="1:69">
      <c r="B273" s="40"/>
      <c r="C273" s="40"/>
      <c r="D273" s="40"/>
      <c r="E273" s="40"/>
      <c r="F273" s="40"/>
      <c r="G273" s="40"/>
      <c r="H273" s="40"/>
      <c r="I273" s="40"/>
      <c r="J273" s="40"/>
      <c r="K273" s="40"/>
      <c r="L273" s="40"/>
      <c r="M273" s="40"/>
      <c r="S273" s="41"/>
      <c r="Y273" s="40"/>
    </row>
    <row r="274" spans="1:69">
      <c r="B274" s="40"/>
      <c r="C274" s="40"/>
      <c r="D274" s="40"/>
      <c r="E274" s="40"/>
      <c r="F274" s="40"/>
      <c r="G274" s="40"/>
      <c r="H274" s="40"/>
      <c r="I274" s="40"/>
      <c r="J274" s="40"/>
      <c r="K274" s="40"/>
      <c r="L274" s="40"/>
      <c r="M274" s="40"/>
      <c r="S274" s="41"/>
      <c r="Y274" s="40"/>
    </row>
    <row r="275" spans="1:69">
      <c r="B275" s="40"/>
      <c r="C275" s="40"/>
      <c r="D275" s="40"/>
      <c r="E275" s="40"/>
      <c r="F275" s="40"/>
      <c r="G275" s="40"/>
      <c r="H275" s="40"/>
      <c r="I275" s="40"/>
      <c r="J275" s="40"/>
      <c r="K275" s="40"/>
      <c r="L275" s="40"/>
      <c r="M275" s="40"/>
      <c r="S275" s="41"/>
      <c r="Y275" s="40"/>
    </row>
    <row r="276" spans="1:69">
      <c r="B276" s="40"/>
      <c r="C276" s="40"/>
      <c r="D276" s="40"/>
      <c r="E276" s="40"/>
      <c r="F276" s="40"/>
      <c r="G276" s="40"/>
      <c r="H276" s="40"/>
      <c r="I276" s="40"/>
      <c r="J276" s="40"/>
      <c r="K276" s="40"/>
      <c r="L276" s="40"/>
      <c r="M276" s="40"/>
      <c r="S276" s="41"/>
      <c r="Y276" s="40"/>
    </row>
    <row r="277" spans="1:69">
      <c r="B277" s="40"/>
      <c r="C277" s="40"/>
      <c r="D277" s="40"/>
      <c r="E277" s="40"/>
      <c r="F277" s="40"/>
      <c r="G277" s="40"/>
      <c r="H277" s="40"/>
      <c r="I277" s="40"/>
      <c r="J277" s="40"/>
      <c r="K277" s="40"/>
      <c r="L277" s="40"/>
      <c r="M277" s="40"/>
      <c r="S277" s="41"/>
      <c r="Y277" s="40"/>
    </row>
    <row r="278" spans="1:69">
      <c r="B278" s="40"/>
      <c r="C278" s="40"/>
      <c r="D278" s="40"/>
      <c r="E278" s="40"/>
      <c r="F278" s="40"/>
      <c r="G278" s="40"/>
      <c r="H278" s="40"/>
      <c r="I278" s="40"/>
      <c r="J278" s="40"/>
      <c r="K278" s="40"/>
      <c r="L278" s="40"/>
      <c r="M278" s="40"/>
      <c r="S278" s="41"/>
      <c r="Y278" s="40"/>
    </row>
    <row r="279" spans="1:69">
      <c r="B279" s="172"/>
      <c r="C279" s="172"/>
      <c r="D279" s="172"/>
      <c r="E279" s="172"/>
      <c r="F279" s="172"/>
      <c r="G279" s="172"/>
      <c r="H279" s="172"/>
      <c r="I279" s="172"/>
      <c r="J279" s="172"/>
      <c r="K279" s="172"/>
      <c r="L279" s="172"/>
      <c r="M279" s="172"/>
      <c r="S279" s="41"/>
      <c r="Y279" s="40"/>
      <c r="BB279" s="172"/>
      <c r="BC279" s="172"/>
      <c r="BD279" s="172"/>
      <c r="BE279" s="172"/>
    </row>
    <row r="280" spans="1:69">
      <c r="A280" s="221"/>
      <c r="B280" s="222"/>
      <c r="C280" s="222"/>
      <c r="D280" s="222"/>
      <c r="E280" s="222"/>
      <c r="F280" s="222"/>
      <c r="G280" s="222"/>
      <c r="H280" s="222"/>
      <c r="I280" s="222"/>
      <c r="J280" s="222"/>
      <c r="K280" s="222"/>
      <c r="L280" s="222"/>
      <c r="M280" s="172"/>
      <c r="S280" s="41"/>
      <c r="Y280" s="40"/>
      <c r="BB280" s="172"/>
      <c r="BC280" s="172"/>
      <c r="BD280" s="172"/>
      <c r="BE280" s="172"/>
      <c r="BQ280" s="221"/>
    </row>
    <row r="281" spans="1:69" s="88" customFormat="1" ht="12.75">
      <c r="A281" s="223"/>
      <c r="B281" s="223"/>
      <c r="C281" s="223"/>
      <c r="D281" s="223"/>
      <c r="E281" s="223"/>
      <c r="F281" s="223"/>
      <c r="G281" s="223"/>
      <c r="H281" s="223"/>
      <c r="I281" s="223"/>
      <c r="J281" s="223"/>
      <c r="K281" s="223"/>
      <c r="L281" s="223"/>
      <c r="M281" s="173"/>
      <c r="N281" s="53"/>
      <c r="O281" s="53"/>
      <c r="P281" s="53"/>
      <c r="Q281" s="53"/>
      <c r="R281" s="53"/>
      <c r="S281" s="53"/>
      <c r="T281" s="53"/>
      <c r="U281" s="53"/>
      <c r="V281" s="53"/>
      <c r="W281" s="53"/>
      <c r="X281" s="53"/>
      <c r="Y281" s="53"/>
      <c r="Z281" s="53"/>
      <c r="AA281" s="53"/>
      <c r="AB281" s="53"/>
      <c r="AC281" s="53"/>
      <c r="AD281" s="53"/>
      <c r="AE281" s="53"/>
      <c r="AF281" s="53"/>
      <c r="AG281" s="53"/>
      <c r="AH281" s="53"/>
      <c r="AI281" s="53"/>
      <c r="AJ281" s="53"/>
      <c r="AK281" s="53"/>
      <c r="AL281" s="53"/>
      <c r="AM281" s="53"/>
      <c r="AN281" s="53"/>
      <c r="AO281" s="53"/>
      <c r="AP281" s="53"/>
      <c r="AQ281" s="53"/>
      <c r="AR281" s="53"/>
      <c r="AS281" s="53"/>
      <c r="BB281" s="173"/>
      <c r="BC281" s="173"/>
      <c r="BD281" s="173"/>
      <c r="BE281" s="173"/>
      <c r="BQ281" s="223"/>
    </row>
    <row r="282" spans="1:69">
      <c r="A282" s="221"/>
      <c r="B282" s="618" t="str">
        <f>+"Posizione Supporto 1"</f>
        <v>Posizione Supporto 1</v>
      </c>
      <c r="C282" s="224"/>
      <c r="D282" s="224"/>
      <c r="E282" s="223"/>
      <c r="F282" s="223"/>
      <c r="G282" s="225"/>
      <c r="H282" s="225"/>
      <c r="I282" s="225"/>
      <c r="J282" s="222"/>
      <c r="K282" s="222"/>
      <c r="L282" s="222"/>
      <c r="M282" s="174"/>
      <c r="N282" s="175"/>
      <c r="O282" s="175"/>
      <c r="P282" s="175"/>
      <c r="Q282" s="175"/>
      <c r="R282" s="175"/>
      <c r="S282" s="175"/>
      <c r="T282" s="175"/>
      <c r="U282" s="175"/>
      <c r="BB282" s="172"/>
      <c r="BC282" s="172"/>
      <c r="BD282" s="172"/>
      <c r="BE282" s="172"/>
      <c r="BQ282" s="221"/>
    </row>
    <row r="283" spans="1:69" ht="15" customHeight="1">
      <c r="A283" s="221"/>
      <c r="B283" s="618"/>
      <c r="C283" s="226">
        <f>+IF(E34="",0,E34)</f>
        <v>0</v>
      </c>
      <c r="D283" s="226">
        <f>+IF(F34="",0,F34)</f>
        <v>0</v>
      </c>
      <c r="E283" s="227"/>
      <c r="F283" s="227"/>
      <c r="G283" s="227"/>
      <c r="H283" s="227"/>
      <c r="I283" s="227"/>
      <c r="J283" s="227"/>
      <c r="K283" s="227"/>
      <c r="L283" s="227"/>
      <c r="M283" s="174"/>
      <c r="N283" s="175"/>
      <c r="O283" s="175"/>
      <c r="P283" s="175"/>
      <c r="Q283" s="175"/>
      <c r="R283" s="175"/>
      <c r="S283" s="175"/>
      <c r="T283" s="175"/>
      <c r="U283" s="175"/>
      <c r="BB283" s="172"/>
      <c r="BC283" s="172"/>
      <c r="BD283" s="172"/>
      <c r="BE283" s="172"/>
      <c r="BQ283" s="221"/>
    </row>
    <row r="284" spans="1:69">
      <c r="A284" s="221"/>
      <c r="B284" s="222"/>
      <c r="C284" s="222"/>
      <c r="D284" s="222"/>
      <c r="E284" s="222"/>
      <c r="F284" s="222"/>
      <c r="G284" s="222"/>
      <c r="H284" s="222"/>
      <c r="I284" s="222"/>
      <c r="J284" s="222"/>
      <c r="K284" s="222"/>
      <c r="L284" s="222"/>
      <c r="M284" s="172"/>
      <c r="P284" s="40" t="s">
        <v>36</v>
      </c>
      <c r="Q284" s="40" t="s">
        <v>40</v>
      </c>
      <c r="T284" s="40" t="s">
        <v>303</v>
      </c>
      <c r="U284" s="40" t="s">
        <v>304</v>
      </c>
      <c r="BB284" s="172"/>
      <c r="BC284" s="172"/>
      <c r="BD284" s="172"/>
      <c r="BE284" s="172"/>
      <c r="BQ284" s="221"/>
    </row>
    <row r="285" spans="1:69">
      <c r="A285" s="221"/>
      <c r="B285" s="222" t="s">
        <v>60</v>
      </c>
      <c r="C285" s="222"/>
      <c r="D285" s="222"/>
      <c r="E285" s="222"/>
      <c r="F285" s="222"/>
      <c r="G285" s="222"/>
      <c r="H285" s="222"/>
      <c r="I285" s="222"/>
      <c r="J285" s="222"/>
      <c r="K285" s="228" t="s">
        <v>65</v>
      </c>
      <c r="L285" s="222"/>
      <c r="M285" s="172"/>
      <c r="O285" s="40" t="s">
        <v>305</v>
      </c>
      <c r="P285" s="177">
        <f>+MIN(G289:G365)-1</f>
        <v>-1</v>
      </c>
      <c r="Q285" s="177">
        <f>(MIN(H289:H365))-1</f>
        <v>-6</v>
      </c>
      <c r="R285" s="40">
        <f>+Q285*Q288</f>
        <v>-9</v>
      </c>
      <c r="T285" s="46">
        <f>P285/4</f>
        <v>-0.25</v>
      </c>
      <c r="U285" s="46">
        <f>R285/4</f>
        <v>-2.25</v>
      </c>
      <c r="BB285" s="172"/>
      <c r="BC285" s="172"/>
      <c r="BD285" s="172"/>
      <c r="BE285" s="172"/>
      <c r="BQ285" s="221"/>
    </row>
    <row r="286" spans="1:69" ht="15" thickBot="1">
      <c r="A286" s="221"/>
      <c r="B286" s="222">
        <f>+MAX(B289:B344,B345:B365)</f>
        <v>6</v>
      </c>
      <c r="C286" s="222"/>
      <c r="D286" s="222" t="s">
        <v>306</v>
      </c>
      <c r="E286" s="222"/>
      <c r="F286" s="222"/>
      <c r="G286" s="222"/>
      <c r="H286" s="222"/>
      <c r="I286" s="222"/>
      <c r="J286" s="222"/>
      <c r="K286" s="228">
        <v>15</v>
      </c>
      <c r="L286" s="222"/>
      <c r="M286" s="172"/>
      <c r="O286" s="40" t="s">
        <v>29</v>
      </c>
      <c r="P286" s="177">
        <f>+MAX(G289:G365)+1</f>
        <v>17</v>
      </c>
      <c r="Q286" s="177">
        <f>+MAX(H289:H365)+1</f>
        <v>6</v>
      </c>
      <c r="R286" s="40">
        <f>+Q286*Q288</f>
        <v>9</v>
      </c>
      <c r="T286" s="46">
        <f>P286/4</f>
        <v>4.25</v>
      </c>
      <c r="U286" s="46">
        <f>R286/4</f>
        <v>2.25</v>
      </c>
      <c r="BB286" s="172"/>
      <c r="BC286" s="172"/>
      <c r="BD286" s="172"/>
      <c r="BE286" s="172"/>
      <c r="BQ286" s="221"/>
    </row>
    <row r="287" spans="1:69" s="199" customFormat="1">
      <c r="B287" s="178" t="s">
        <v>63</v>
      </c>
      <c r="C287" s="179"/>
      <c r="D287" s="179"/>
      <c r="E287" s="179"/>
      <c r="F287" s="179"/>
      <c r="G287" s="172"/>
      <c r="H287" s="172"/>
      <c r="I287" s="179"/>
      <c r="J287" s="179"/>
      <c r="K287" s="172"/>
      <c r="L287" s="179"/>
      <c r="M287" s="179" t="s">
        <v>66</v>
      </c>
      <c r="N287" s="229"/>
      <c r="O287" s="41"/>
      <c r="P287" s="214">
        <f>+P286-P285</f>
        <v>18</v>
      </c>
      <c r="Q287" s="214">
        <f>+Q286-Q285</f>
        <v>12</v>
      </c>
      <c r="R287" s="41"/>
      <c r="S287" s="41"/>
      <c r="T287" s="41"/>
      <c r="U287" s="41"/>
      <c r="V287" s="41"/>
      <c r="W287" s="41"/>
      <c r="X287" s="41"/>
      <c r="Y287" s="41"/>
      <c r="Z287" s="41"/>
      <c r="AA287" s="41"/>
      <c r="AB287" s="41"/>
      <c r="AC287" s="41"/>
      <c r="AD287" s="41"/>
      <c r="AE287" s="41"/>
      <c r="AF287" s="41"/>
      <c r="AG287" s="41"/>
      <c r="AH287" s="41"/>
      <c r="AI287" s="41"/>
      <c r="AJ287" s="41"/>
      <c r="AK287" s="41"/>
      <c r="AL287" s="41"/>
      <c r="AM287" s="41"/>
      <c r="AN287" s="41"/>
      <c r="AO287" s="41"/>
      <c r="AP287" s="41"/>
      <c r="AQ287" s="41"/>
      <c r="AR287" s="41"/>
      <c r="AS287" s="41"/>
      <c r="BB287" s="172"/>
      <c r="BC287" s="172"/>
      <c r="BD287" s="172"/>
      <c r="BE287" s="172"/>
    </row>
    <row r="288" spans="1:69" s="199" customFormat="1" ht="15" thickBot="1">
      <c r="B288" s="180" t="s">
        <v>68</v>
      </c>
      <c r="C288" s="172"/>
      <c r="D288" s="181" t="s">
        <v>83</v>
      </c>
      <c r="E288" s="182" t="s">
        <v>84</v>
      </c>
      <c r="F288" s="182" t="s">
        <v>69</v>
      </c>
      <c r="G288" s="182" t="s">
        <v>39</v>
      </c>
      <c r="H288" s="182" t="s">
        <v>40</v>
      </c>
      <c r="I288" s="172"/>
      <c r="J288" s="172"/>
      <c r="K288" s="172"/>
      <c r="L288" s="172"/>
      <c r="M288" s="172">
        <f>+SUM(M290:M344)</f>
        <v>0</v>
      </c>
      <c r="N288" s="230"/>
      <c r="O288" s="41"/>
      <c r="P288" s="41"/>
      <c r="Q288" s="41">
        <f>+P287/Q287</f>
        <v>1.5</v>
      </c>
      <c r="R288" s="41"/>
      <c r="S288" s="41"/>
      <c r="T288" s="41"/>
      <c r="U288" s="41"/>
      <c r="V288" s="41"/>
      <c r="W288" s="41"/>
      <c r="X288" s="41"/>
      <c r="Y288" s="41"/>
      <c r="Z288" s="41"/>
      <c r="AA288" s="41"/>
      <c r="AB288" s="41"/>
      <c r="AC288" s="41"/>
      <c r="AD288" s="41"/>
      <c r="AE288" s="41"/>
      <c r="AF288" s="41"/>
      <c r="AG288" s="41"/>
      <c r="AH288" s="41"/>
      <c r="AI288" s="41"/>
      <c r="AJ288" s="41"/>
      <c r="AK288" s="41"/>
      <c r="AL288" s="41"/>
      <c r="AM288" s="41"/>
      <c r="AN288" s="41"/>
      <c r="AO288" s="41"/>
      <c r="AP288" s="41"/>
      <c r="AQ288" s="41"/>
      <c r="AR288" s="41"/>
      <c r="AS288" s="41"/>
      <c r="BB288" s="172" t="s">
        <v>307</v>
      </c>
      <c r="BC288" s="172" t="s">
        <v>10</v>
      </c>
      <c r="BD288" s="172" t="s">
        <v>166</v>
      </c>
      <c r="BE288" s="172" t="s">
        <v>308</v>
      </c>
      <c r="BG288" s="199" t="s">
        <v>309</v>
      </c>
      <c r="BH288" s="199" t="s">
        <v>310</v>
      </c>
      <c r="BI288" s="199" t="s">
        <v>77</v>
      </c>
      <c r="BJ288" s="199" t="s">
        <v>78</v>
      </c>
    </row>
    <row r="289" spans="2:62" s="199" customFormat="1" ht="15" thickBot="1">
      <c r="B289" s="183">
        <v>1</v>
      </c>
      <c r="C289" s="184" t="s">
        <v>82</v>
      </c>
      <c r="D289" s="172"/>
      <c r="E289" s="231">
        <v>0</v>
      </c>
      <c r="F289" s="185">
        <f t="shared" ref="F289:F339" si="19">+IF(C289="Loop",SQRT((G289-G288)^2+(H289-H288)^2),0)</f>
        <v>0</v>
      </c>
      <c r="G289" s="186">
        <f>+C283</f>
        <v>0</v>
      </c>
      <c r="H289" s="186">
        <f>+D283</f>
        <v>0</v>
      </c>
      <c r="I289" s="181" t="s">
        <v>85</v>
      </c>
      <c r="J289" s="181" t="s">
        <v>86</v>
      </c>
      <c r="K289" s="187" t="s">
        <v>88</v>
      </c>
      <c r="L289" s="187" t="s">
        <v>89</v>
      </c>
      <c r="M289" s="187" t="s">
        <v>88</v>
      </c>
      <c r="N289" s="232" t="s">
        <v>91</v>
      </c>
      <c r="O289" s="41" t="s">
        <v>176</v>
      </c>
      <c r="P289" s="41" t="s">
        <v>178</v>
      </c>
      <c r="Q289" s="41" t="s">
        <v>311</v>
      </c>
      <c r="R289" s="41" t="s">
        <v>311</v>
      </c>
      <c r="S289" s="41"/>
      <c r="T289" s="41"/>
      <c r="U289" s="41"/>
      <c r="V289" s="41"/>
      <c r="W289" s="41"/>
      <c r="X289" s="41"/>
      <c r="Y289" s="41"/>
      <c r="Z289" s="41"/>
      <c r="AA289" s="41"/>
      <c r="AB289" s="41"/>
      <c r="AC289" s="41"/>
      <c r="AD289" s="41"/>
      <c r="AE289" s="41"/>
      <c r="AF289" s="41"/>
      <c r="AG289" s="41"/>
      <c r="AH289" s="41"/>
      <c r="AI289" s="41"/>
      <c r="AJ289" s="41"/>
      <c r="AK289" s="41"/>
      <c r="AL289" s="41"/>
      <c r="AM289" s="41"/>
      <c r="AN289" s="41"/>
      <c r="AO289" s="41"/>
      <c r="AP289" s="41"/>
      <c r="AQ289" s="41"/>
      <c r="AR289" s="41"/>
      <c r="AS289" s="41"/>
      <c r="BB289" s="172" t="s">
        <v>149</v>
      </c>
      <c r="BC289" s="172" t="s">
        <v>149</v>
      </c>
      <c r="BD289" s="172" t="s">
        <v>149</v>
      </c>
      <c r="BE289" s="172" t="s">
        <v>149</v>
      </c>
      <c r="BG289" s="199" t="s">
        <v>312</v>
      </c>
      <c r="BH289" s="199" t="s">
        <v>313</v>
      </c>
      <c r="BI289" s="199" t="s">
        <v>313</v>
      </c>
      <c r="BJ289" s="199" t="s">
        <v>313</v>
      </c>
    </row>
    <row r="290" spans="2:62" s="199" customFormat="1" ht="16.5" customHeight="1">
      <c r="B290" s="188">
        <f t="shared" ref="B290:B345" si="20">IF(OR(J43=0,AND(K43="",L43="")), +IF(C290="Loop",$B$289,IF(C290&lt;&gt;"",B289+1,"")),J43)</f>
        <v>2</v>
      </c>
      <c r="C290" s="189" t="str">
        <f t="shared" ref="C290:C344" si="21">IF(D43="","",D43)</f>
        <v>&gt;</v>
      </c>
      <c r="D290" s="190">
        <f t="shared" ref="D290:D344" si="22">IF(E43="",0,E43)</f>
        <v>10</v>
      </c>
      <c r="E290" s="233">
        <f>IF(C290="&gt;",0,IF(C290="&lt;",180,IF(C290="V",270,IF(C290="Λ",90,F43))))</f>
        <v>0</v>
      </c>
      <c r="F290" s="191">
        <f t="shared" si="19"/>
        <v>0</v>
      </c>
      <c r="G290" s="190" cm="1">
        <f t="array" ref="G290">IF(K43="", _xlfn.IFS($C290="Angle",(D290*I290)+G289,$C290="Loop",$G$289,$C290="",G289,$C290="End",G289,$C290="&gt;",G289+D290,$C290="&lt;",G289-D290,OR($C290="Λ",$C290="V"),G289), K43)</f>
        <v>10</v>
      </c>
      <c r="H290" s="190" cm="1">
        <f t="array" ref="H290">IF(L43="",_xlfn.IFS($C290="Angle",(D290*J290)+H289,$C290="Loop",$H$289,$C290="",H289,$C290="End",H289,$C290="Λ",H289+D290,$C290="V",H289-D290,OR($C290="&lt;",$C290="&gt;"),H289),L43)</f>
        <v>0</v>
      </c>
      <c r="I290" s="192">
        <f t="shared" ref="I290:I339" si="23">+COS(RADIANS(E290))</f>
        <v>1</v>
      </c>
      <c r="J290" s="192">
        <f t="shared" ref="J290:J339" si="24">SIN(RADIANS(E290))</f>
        <v>0</v>
      </c>
      <c r="K290" s="193">
        <f t="shared" ref="K290:K339" si="25">+IF(OR(D290=0,D290=""),"",IF(MOD(D290,$K$286),_xlfn.FLOOR.MATH(D290/$K$286),_xlfn.FLOOR.MATH(D290/$K$286)-1))</f>
        <v>0</v>
      </c>
      <c r="L290" s="193" t="str">
        <f t="shared" ref="L290:L339" si="26">+IF(OR(F290=0,F290=""),"",IF(MOD(F290,$K$286),_xlfn.FLOOR.MATH(F290/$K$286),_xlfn.FLOOR.MATH(F290/$K$286)-1))</f>
        <v/>
      </c>
      <c r="M290" s="193">
        <f>+MAX(K290:L290)</f>
        <v>0</v>
      </c>
      <c r="N290" s="234">
        <f>IF(AND(D290=0,F290=0),0,IF(D290&lt;&gt;0,D290/(M290+1),F290/(M290+1)))</f>
        <v>10</v>
      </c>
      <c r="O290" s="41" t="str">
        <f t="shared" ref="O290:O343" si="27">IF(B290="", O289, AH43)</f>
        <v>TOWER</v>
      </c>
      <c r="P290" s="41" t="str">
        <f>IF(B290="", P289, AK43)</f>
        <v>SPEAR2/SPEAR</v>
      </c>
      <c r="Q290" s="41" t="str">
        <f t="shared" ref="Q290:Q345" si="28">VLOOKUP(O290,$AG$5:$AH$12,2,)</f>
        <v>TOWER600.txt</v>
      </c>
      <c r="R290" s="41" t="str">
        <f>VLOOKUP(P290,$W$5:$X$8,2,)</f>
        <v>SPEAR_SPEAR2.txt</v>
      </c>
      <c r="S290" s="41"/>
      <c r="T290" s="41"/>
      <c r="U290" s="41"/>
      <c r="V290" s="41"/>
      <c r="W290" s="41"/>
      <c r="X290" s="41"/>
      <c r="Y290" s="41"/>
      <c r="Z290" s="41"/>
      <c r="AA290" s="41"/>
      <c r="AB290" s="41"/>
      <c r="AC290" s="41"/>
      <c r="AD290" s="41"/>
      <c r="AE290" s="41"/>
      <c r="AF290" s="41"/>
      <c r="AG290" s="41"/>
      <c r="AH290" s="41"/>
      <c r="AI290" s="41"/>
      <c r="AJ290" s="41"/>
      <c r="AK290" s="41"/>
      <c r="AL290" s="41"/>
      <c r="AM290" s="41"/>
      <c r="AN290" s="41"/>
      <c r="AO290" s="41"/>
      <c r="AP290" s="41"/>
      <c r="AQ290" s="41"/>
      <c r="AR290" s="41"/>
      <c r="AS290" s="41"/>
      <c r="BB290" s="235" t="e">
        <f t="shared" ref="BB290:BB344" si="29">IF(AND(C290="",C291=""),0,_xlfn.FORECAST.LINEAR($E$99,$F$23:$F$24,$D$23:$D$24))</f>
        <v>#DIV/0!</v>
      </c>
      <c r="BC290" s="235" t="e">
        <f>BB290*(COS(RADIANS(E291))-COS(RADIANS(E290)))</f>
        <v>#DIV/0!</v>
      </c>
      <c r="BD290" s="235" t="e">
        <f>BB290*(SIN(RADIANS(E291))-SIN(RADIANS(E290)))</f>
        <v>#DIV/0!</v>
      </c>
      <c r="BE290" s="235" t="e">
        <f>IF(AND(C290="",C291=""),0,IF(C291="",BB290,IF(SQRT(BC290^2+BD290^2)&gt;BB290*SQRT(2),BB290*SQRT(2),SQRT(BC290^2+BD290^2))))</f>
        <v>#DIV/0!</v>
      </c>
      <c r="BG290" s="199">
        <f>IF(C291="",0,IF(OR(AND(G290-G289=0,G291-G290=0),AND(H290-H289=0,H291-H290=0)),0,1))</f>
        <v>1</v>
      </c>
      <c r="BH290" s="199" t="e">
        <f>IF(BG290=1,BE290,0)</f>
        <v>#DIV/0!</v>
      </c>
      <c r="BI290" s="199" t="e">
        <f>IF(BH290=0,0,IF(SQRT(BC290^2+BD290^2)&gt;BB290*SQRT(2),BB290,BC290))</f>
        <v>#DIV/0!</v>
      </c>
      <c r="BJ290" s="199" t="e">
        <f>IF(BH290=0,0,IF(SQRT(BC290^2+BD290^2)&gt;BB290*SQRT(2),BB290,BD290))</f>
        <v>#DIV/0!</v>
      </c>
    </row>
    <row r="291" spans="2:62" s="199" customFormat="1" ht="15">
      <c r="B291" s="188">
        <f t="shared" si="20"/>
        <v>3</v>
      </c>
      <c r="C291" s="194" t="str">
        <f t="shared" si="21"/>
        <v>Λ</v>
      </c>
      <c r="D291" s="195">
        <f t="shared" si="22"/>
        <v>5</v>
      </c>
      <c r="E291" s="182">
        <f t="shared" ref="E291:E297" si="30">IF(C291="&gt;",0,IF(C291="&lt;",180,IF(C291="V",270,IF(C291="Λ",90,F44))))</f>
        <v>90</v>
      </c>
      <c r="F291" s="196">
        <f t="shared" si="19"/>
        <v>0</v>
      </c>
      <c r="G291" s="195" cm="1">
        <f t="array" ref="G291">IF(K44="", _xlfn.IFS($C291="Angle",(D291*I291)+G290,$C291="Loop",$G$289,$C291="",G290,$C291="End",G290,$C291="&gt;",G290+D291,$C291="&lt;",G290-D291,OR($C291="Λ",$C291="V"),G290), K44)</f>
        <v>10</v>
      </c>
      <c r="H291" s="195" cm="1">
        <f t="array" ref="H291">IF(L44="",_xlfn.IFS($C291="Angle",(D291*J291)+H290,$C291="Loop",$H$289,$C291="",H290,$C291="End",H290,$C291="Λ",H290+D291,$C291="V",H290-D291,OR($C291="&lt;",$C291="&gt;"),H290),L44)</f>
        <v>5</v>
      </c>
      <c r="I291" s="197">
        <f t="shared" si="23"/>
        <v>6.1257422745431001E-17</v>
      </c>
      <c r="J291" s="197">
        <f t="shared" si="24"/>
        <v>1</v>
      </c>
      <c r="K291" s="176">
        <f t="shared" si="25"/>
        <v>0</v>
      </c>
      <c r="L291" s="176" t="str">
        <f t="shared" si="26"/>
        <v/>
      </c>
      <c r="M291" s="176">
        <f t="shared" ref="M291:M339" si="31">+MAX(K291:L291)</f>
        <v>0</v>
      </c>
      <c r="N291" s="236">
        <f t="shared" ref="N291:N339" si="32">IF(AND(D291=0,F291=0),0,IF(D291&lt;&gt;0,D291/(M291+1),F291/(M291+1)))</f>
        <v>5</v>
      </c>
      <c r="O291" s="41" t="str">
        <f t="shared" si="27"/>
        <v>TOWER</v>
      </c>
      <c r="P291" s="41"/>
      <c r="Q291" s="41" t="str">
        <f t="shared" si="28"/>
        <v>TOWER600.txt</v>
      </c>
      <c r="R291" s="41"/>
      <c r="S291" s="41"/>
      <c r="T291" s="41"/>
      <c r="U291" s="41"/>
      <c r="V291" s="41"/>
      <c r="W291" s="41"/>
      <c r="X291" s="41"/>
      <c r="Y291" s="41"/>
      <c r="Z291" s="41"/>
      <c r="AA291" s="41"/>
      <c r="AB291" s="41"/>
      <c r="AC291" s="41"/>
      <c r="AD291" s="41"/>
      <c r="AE291" s="41"/>
      <c r="AF291" s="41"/>
      <c r="AG291" s="41"/>
      <c r="AH291" s="41"/>
      <c r="AI291" s="41"/>
      <c r="AJ291" s="41"/>
      <c r="AK291" s="41"/>
      <c r="AL291" s="41"/>
      <c r="AM291" s="41"/>
      <c r="AN291" s="41"/>
      <c r="AO291" s="41"/>
      <c r="AP291" s="41"/>
      <c r="AQ291" s="41"/>
      <c r="AR291" s="41"/>
      <c r="AS291" s="41"/>
      <c r="BB291" s="235" t="e">
        <f t="shared" si="29"/>
        <v>#DIV/0!</v>
      </c>
      <c r="BC291" s="235" t="e">
        <f t="shared" ref="BC291:BC344" si="33">BB291*(COS(RADIANS(E292))-COS(RADIANS(E291)))</f>
        <v>#DIV/0!</v>
      </c>
      <c r="BD291" s="235" t="e">
        <f t="shared" ref="BD291:BD344" si="34">BB291*(SIN(RADIANS(E292))-SIN(RADIANS(E291)))</f>
        <v>#DIV/0!</v>
      </c>
      <c r="BE291" s="235" t="e">
        <f t="shared" ref="BE291:BE344" si="35">IF(AND(C291="",C292=""),0,IF(C292="",BB291,IF(SQRT(BC291^2+BD291^2)&gt;BB291*SQRT(2),BB291*SQRT(2),SQRT(BC291^2+BD291^2))))</f>
        <v>#DIV/0!</v>
      </c>
      <c r="BG291" s="199">
        <f t="shared" ref="BG291:BG344" si="36">IF(C292="",0,IF(OR(AND(G291-G290=0,G292-G291=0),AND(H291-H290=0,H292-H291=0)),0,1))</f>
        <v>1</v>
      </c>
      <c r="BH291" s="199" t="e">
        <f t="shared" ref="BH291:BH344" si="37">IF(BG291=1,BE291,0)</f>
        <v>#DIV/0!</v>
      </c>
      <c r="BI291" s="199" t="e">
        <f t="shared" ref="BI291:BI344" si="38">IF(BH291=0,0,IF(SQRT(BC291^2+BD291^2)&gt;BB291*SQRT(2),BB291,BC291))</f>
        <v>#DIV/0!</v>
      </c>
      <c r="BJ291" s="199" t="e">
        <f t="shared" ref="BJ291:BJ344" si="39">IF(BH291=0,0,IF(SQRT(BC291^2+BD291^2)&gt;BB291*SQRT(2),BB291,BD291))</f>
        <v>#DIV/0!</v>
      </c>
    </row>
    <row r="292" spans="2:62" s="199" customFormat="1" ht="15">
      <c r="B292" s="188">
        <f t="shared" si="20"/>
        <v>4</v>
      </c>
      <c r="C292" s="194" t="str">
        <f t="shared" si="21"/>
        <v>&gt;</v>
      </c>
      <c r="D292" s="195">
        <f t="shared" si="22"/>
        <v>6</v>
      </c>
      <c r="E292" s="182">
        <f t="shared" si="30"/>
        <v>0</v>
      </c>
      <c r="F292" s="196">
        <f t="shared" si="19"/>
        <v>0</v>
      </c>
      <c r="G292" s="195" cm="1">
        <f t="array" ref="G292">IF(K45="", _xlfn.IFS($C292="Angle",(D292*I292)+G291,$C292="Loop",$G$289,$C292="",G291,$C292="End",G291,$C292="&gt;",G291+D292,$C292="&lt;",G291-D292,OR($C292="Λ",$C292="V"),G291), K45)</f>
        <v>16</v>
      </c>
      <c r="H292" s="195" cm="1">
        <f t="array" ref="H292">IF(L45="",_xlfn.IFS($C292="Angle",(D292*J292)+H291,$C292="Loop",$H$289,$C292="",H291,$C292="End",H291,$C292="Λ",H291+D292,$C292="V",H291-D292,OR($C292="&lt;",$C292="&gt;"),H291),L45)</f>
        <v>5</v>
      </c>
      <c r="I292" s="197">
        <f t="shared" si="23"/>
        <v>1</v>
      </c>
      <c r="J292" s="197">
        <f t="shared" si="24"/>
        <v>0</v>
      </c>
      <c r="K292" s="176">
        <f t="shared" si="25"/>
        <v>0</v>
      </c>
      <c r="L292" s="176" t="str">
        <f t="shared" si="26"/>
        <v/>
      </c>
      <c r="M292" s="176">
        <f t="shared" si="31"/>
        <v>0</v>
      </c>
      <c r="N292" s="236">
        <f t="shared" si="32"/>
        <v>6</v>
      </c>
      <c r="O292" s="41" t="str">
        <f t="shared" si="27"/>
        <v>TOWER</v>
      </c>
      <c r="P292" s="41"/>
      <c r="Q292" s="41" t="str">
        <f t="shared" si="28"/>
        <v>TOWER600.txt</v>
      </c>
      <c r="R292" s="41"/>
      <c r="S292" s="41"/>
      <c r="T292" s="41"/>
      <c r="U292" s="41"/>
      <c r="V292" s="41"/>
      <c r="W292" s="41"/>
      <c r="X292" s="41"/>
      <c r="Y292" s="41"/>
      <c r="Z292" s="41"/>
      <c r="AA292" s="41"/>
      <c r="AB292" s="41"/>
      <c r="AC292" s="41"/>
      <c r="AD292" s="41"/>
      <c r="AE292" s="41"/>
      <c r="AF292" s="41"/>
      <c r="AG292" s="41"/>
      <c r="AH292" s="41"/>
      <c r="AI292" s="41"/>
      <c r="AJ292" s="41"/>
      <c r="AK292" s="41"/>
      <c r="AL292" s="41"/>
      <c r="AM292" s="41"/>
      <c r="AN292" s="41"/>
      <c r="AO292" s="41"/>
      <c r="AP292" s="41"/>
      <c r="AQ292" s="41"/>
      <c r="AR292" s="41"/>
      <c r="AS292" s="41"/>
      <c r="BB292" s="235" t="e">
        <f t="shared" si="29"/>
        <v>#DIV/0!</v>
      </c>
      <c r="BC292" s="235" t="e">
        <f t="shared" si="33"/>
        <v>#DIV/0!</v>
      </c>
      <c r="BD292" s="235" t="e">
        <f t="shared" si="34"/>
        <v>#DIV/0!</v>
      </c>
      <c r="BE292" s="235" t="e">
        <f t="shared" si="35"/>
        <v>#DIV/0!</v>
      </c>
      <c r="BG292" s="199">
        <f t="shared" si="36"/>
        <v>1</v>
      </c>
      <c r="BH292" s="199" t="e">
        <f t="shared" si="37"/>
        <v>#DIV/0!</v>
      </c>
      <c r="BI292" s="199" t="e">
        <f t="shared" si="38"/>
        <v>#DIV/0!</v>
      </c>
      <c r="BJ292" s="199" t="e">
        <f t="shared" si="39"/>
        <v>#DIV/0!</v>
      </c>
    </row>
    <row r="293" spans="2:62" s="199" customFormat="1" ht="15">
      <c r="B293" s="188">
        <f t="shared" si="20"/>
        <v>5</v>
      </c>
      <c r="C293" s="194" t="str">
        <f t="shared" si="21"/>
        <v>V</v>
      </c>
      <c r="D293" s="195">
        <f t="shared" si="22"/>
        <v>10</v>
      </c>
      <c r="E293" s="182">
        <f t="shared" si="30"/>
        <v>270</v>
      </c>
      <c r="F293" s="196">
        <f t="shared" si="19"/>
        <v>0</v>
      </c>
      <c r="G293" s="195" cm="1">
        <f t="array" ref="G293">IF(K46="", _xlfn.IFS($C293="Angle",(D293*I293)+G292,$C293="Loop",$G$289,$C293="",G292,$C293="End",G292,$C293="&gt;",G292+D293,$C293="&lt;",G292-D293,OR($C293="Λ",$C293="V"),G292), K46)</f>
        <v>16</v>
      </c>
      <c r="H293" s="195" cm="1">
        <f t="array" ref="H293">IF(L46="",_xlfn.IFS($C293="Angle",(D293*J293)+H292,$C293="Loop",$H$289,$C293="",H292,$C293="End",H292,$C293="Λ",H292+D293,$C293="V",H292-D293,OR($C293="&lt;",$C293="&gt;"),H292),L46)</f>
        <v>-5</v>
      </c>
      <c r="I293" s="197">
        <f t="shared" si="23"/>
        <v>-1.83772268236293E-16</v>
      </c>
      <c r="J293" s="197">
        <f t="shared" si="24"/>
        <v>-1</v>
      </c>
      <c r="K293" s="176">
        <f t="shared" si="25"/>
        <v>0</v>
      </c>
      <c r="L293" s="176" t="str">
        <f t="shared" si="26"/>
        <v/>
      </c>
      <c r="M293" s="176">
        <f t="shared" si="31"/>
        <v>0</v>
      </c>
      <c r="N293" s="236">
        <f t="shared" si="32"/>
        <v>10</v>
      </c>
      <c r="O293" s="41" t="str">
        <f t="shared" si="27"/>
        <v>TOWER</v>
      </c>
      <c r="P293" s="41"/>
      <c r="Q293" s="41" t="str">
        <f t="shared" si="28"/>
        <v>TOWER600.txt</v>
      </c>
      <c r="R293" s="41"/>
      <c r="S293" s="41"/>
      <c r="T293" s="41"/>
      <c r="U293" s="41"/>
      <c r="V293" s="41"/>
      <c r="W293" s="41"/>
      <c r="X293" s="41"/>
      <c r="Y293" s="41"/>
      <c r="Z293" s="41"/>
      <c r="AA293" s="41"/>
      <c r="AB293" s="41"/>
      <c r="AC293" s="41"/>
      <c r="AD293" s="41"/>
      <c r="AE293" s="41"/>
      <c r="AF293" s="41"/>
      <c r="AG293" s="41"/>
      <c r="AH293" s="41"/>
      <c r="AI293" s="41"/>
      <c r="AJ293" s="41"/>
      <c r="AK293" s="41"/>
      <c r="AL293" s="41"/>
      <c r="AM293" s="41"/>
      <c r="AN293" s="41"/>
      <c r="AO293" s="41"/>
      <c r="AP293" s="41"/>
      <c r="AQ293" s="41"/>
      <c r="AR293" s="41"/>
      <c r="AS293" s="41"/>
      <c r="BB293" s="235" t="e">
        <f t="shared" si="29"/>
        <v>#DIV/0!</v>
      </c>
      <c r="BC293" s="235" t="e">
        <f t="shared" si="33"/>
        <v>#DIV/0!</v>
      </c>
      <c r="BD293" s="235" t="e">
        <f t="shared" si="34"/>
        <v>#DIV/0!</v>
      </c>
      <c r="BE293" s="235" t="e">
        <f t="shared" si="35"/>
        <v>#DIV/0!</v>
      </c>
      <c r="BG293" s="199">
        <f t="shared" si="36"/>
        <v>1</v>
      </c>
      <c r="BH293" s="199" t="e">
        <f t="shared" si="37"/>
        <v>#DIV/0!</v>
      </c>
      <c r="BI293" s="199" t="e">
        <f t="shared" si="38"/>
        <v>#DIV/0!</v>
      </c>
      <c r="BJ293" s="199" t="e">
        <f t="shared" si="39"/>
        <v>#DIV/0!</v>
      </c>
    </row>
    <row r="294" spans="2:62" s="199" customFormat="1" ht="15">
      <c r="B294" s="188">
        <f t="shared" si="20"/>
        <v>6</v>
      </c>
      <c r="C294" s="194" t="str">
        <f t="shared" si="21"/>
        <v>&lt;</v>
      </c>
      <c r="D294" s="195">
        <f t="shared" si="22"/>
        <v>12.5</v>
      </c>
      <c r="E294" s="182">
        <f t="shared" si="30"/>
        <v>180</v>
      </c>
      <c r="F294" s="196">
        <f t="shared" si="19"/>
        <v>0</v>
      </c>
      <c r="G294" s="195" cm="1">
        <f t="array" ref="G294">IF(K47="", _xlfn.IFS($C294="Angle",(D294*I294)+G293,$C294="Loop",$G$289,$C294="",G293,$C294="End",G293,$C294="&gt;",G293+D294,$C294="&lt;",G293-D294,OR($C294="Λ",$C294="V"),G293), K47)</f>
        <v>3.5</v>
      </c>
      <c r="H294" s="195" cm="1">
        <f t="array" ref="H294">IF(L47="",_xlfn.IFS($C294="Angle",(D294*J294)+H293,$C294="Loop",$H$289,$C294="",H293,$C294="End",H293,$C294="Λ",H293+D294,$C294="V",H293-D294,OR($C294="&lt;",$C294="&gt;"),H293),L47)</f>
        <v>-5</v>
      </c>
      <c r="I294" s="197">
        <f t="shared" si="23"/>
        <v>-1</v>
      </c>
      <c r="J294" s="197">
        <f t="shared" si="24"/>
        <v>1.22514845490862E-16</v>
      </c>
      <c r="K294" s="176">
        <f t="shared" si="25"/>
        <v>0</v>
      </c>
      <c r="L294" s="176" t="str">
        <f t="shared" si="26"/>
        <v/>
      </c>
      <c r="M294" s="176">
        <f t="shared" si="31"/>
        <v>0</v>
      </c>
      <c r="N294" s="236">
        <f t="shared" si="32"/>
        <v>12.5</v>
      </c>
      <c r="O294" s="41" t="str">
        <f t="shared" si="27"/>
        <v>TOWER</v>
      </c>
      <c r="P294" s="41"/>
      <c r="Q294" s="41" t="str">
        <f t="shared" si="28"/>
        <v>TOWER600.txt</v>
      </c>
      <c r="R294" s="41"/>
      <c r="S294" s="41"/>
      <c r="T294" s="41"/>
      <c r="U294" s="41"/>
      <c r="V294" s="41"/>
      <c r="W294" s="41"/>
      <c r="X294" s="41"/>
      <c r="Y294" s="41"/>
      <c r="Z294" s="41"/>
      <c r="AA294" s="41"/>
      <c r="AB294" s="41"/>
      <c r="AC294" s="41"/>
      <c r="AD294" s="41"/>
      <c r="AE294" s="41"/>
      <c r="AF294" s="41"/>
      <c r="AG294" s="41"/>
      <c r="AH294" s="41"/>
      <c r="AI294" s="41"/>
      <c r="AJ294" s="41"/>
      <c r="AK294" s="41"/>
      <c r="AL294" s="41"/>
      <c r="AM294" s="41"/>
      <c r="AN294" s="41"/>
      <c r="AO294" s="41"/>
      <c r="AP294" s="41"/>
      <c r="AQ294" s="41"/>
      <c r="AR294" s="41"/>
      <c r="AS294" s="41"/>
      <c r="BB294" s="235" t="e">
        <f t="shared" si="29"/>
        <v>#DIV/0!</v>
      </c>
      <c r="BC294" s="235" t="e">
        <f t="shared" si="33"/>
        <v>#DIV/0!</v>
      </c>
      <c r="BD294" s="235" t="e">
        <f t="shared" si="34"/>
        <v>#DIV/0!</v>
      </c>
      <c r="BE294" s="235" t="e">
        <f t="shared" si="35"/>
        <v>#DIV/0!</v>
      </c>
      <c r="BG294" s="199">
        <f t="shared" si="36"/>
        <v>0</v>
      </c>
      <c r="BH294" s="199">
        <f t="shared" si="37"/>
        <v>0</v>
      </c>
      <c r="BI294" s="199">
        <f t="shared" si="38"/>
        <v>0</v>
      </c>
      <c r="BJ294" s="199">
        <f t="shared" si="39"/>
        <v>0</v>
      </c>
    </row>
    <row r="295" spans="2:62" s="199" customFormat="1" ht="15">
      <c r="B295" s="188" t="str">
        <f t="shared" si="20"/>
        <v/>
      </c>
      <c r="C295" s="194" t="str">
        <f t="shared" si="21"/>
        <v/>
      </c>
      <c r="D295" s="195">
        <f t="shared" si="22"/>
        <v>0</v>
      </c>
      <c r="E295" s="182">
        <f t="shared" si="30"/>
        <v>0</v>
      </c>
      <c r="F295" s="196">
        <f t="shared" si="19"/>
        <v>0</v>
      </c>
      <c r="G295" s="195" cm="1">
        <f t="array" ref="G295">IF(K48="", _xlfn.IFS($C295="Angle",(D295*I295)+G294,$C295="Loop",$G$289,$C295="",G294,$C295="End",G294,$C295="&gt;",G294+D295,$C295="&lt;",G294-D295,OR($C295="Λ",$C295="V"),G294), K48)</f>
        <v>3.5</v>
      </c>
      <c r="H295" s="195" cm="1">
        <f t="array" ref="H295">IF(L48="",_xlfn.IFS($C295="Angle",(D295*J295)+H294,$C295="Loop",$H$289,$C295="",H294,$C295="End",H294,$C295="Λ",H294+D295,$C295="V",H294-D295,OR($C295="&lt;",$C295="&gt;"),H294),L48)</f>
        <v>-5</v>
      </c>
      <c r="I295" s="197">
        <f t="shared" si="23"/>
        <v>1</v>
      </c>
      <c r="J295" s="197">
        <f t="shared" si="24"/>
        <v>0</v>
      </c>
      <c r="K295" s="176" t="str">
        <f t="shared" si="25"/>
        <v/>
      </c>
      <c r="L295" s="176" t="str">
        <f t="shared" si="26"/>
        <v/>
      </c>
      <c r="M295" s="176">
        <f t="shared" si="31"/>
        <v>0</v>
      </c>
      <c r="N295" s="236">
        <f t="shared" si="32"/>
        <v>0</v>
      </c>
      <c r="O295" s="41" t="str">
        <f t="shared" si="27"/>
        <v>TOWER</v>
      </c>
      <c r="P295" s="41"/>
      <c r="Q295" s="41" t="str">
        <f t="shared" si="28"/>
        <v>TOWER600.txt</v>
      </c>
      <c r="R295" s="41"/>
      <c r="S295" s="41"/>
      <c r="T295" s="41"/>
      <c r="U295" s="41"/>
      <c r="V295" s="41"/>
      <c r="W295" s="41"/>
      <c r="X295" s="41"/>
      <c r="Y295" s="41"/>
      <c r="Z295" s="41"/>
      <c r="AA295" s="41"/>
      <c r="AB295" s="41"/>
      <c r="AC295" s="41"/>
      <c r="AD295" s="41"/>
      <c r="AE295" s="41"/>
      <c r="AF295" s="41"/>
      <c r="AG295" s="41"/>
      <c r="AH295" s="41"/>
      <c r="AI295" s="41"/>
      <c r="AJ295" s="41"/>
      <c r="AK295" s="41"/>
      <c r="AL295" s="41"/>
      <c r="AM295" s="41"/>
      <c r="AN295" s="41"/>
      <c r="AO295" s="41"/>
      <c r="AP295" s="41"/>
      <c r="AQ295" s="41"/>
      <c r="AR295" s="41"/>
      <c r="AS295" s="41"/>
      <c r="BB295" s="235">
        <f t="shared" si="29"/>
        <v>0</v>
      </c>
      <c r="BC295" s="235">
        <f t="shared" si="33"/>
        <v>0</v>
      </c>
      <c r="BD295" s="235">
        <f t="shared" si="34"/>
        <v>0</v>
      </c>
      <c r="BE295" s="235">
        <f t="shared" si="35"/>
        <v>0</v>
      </c>
      <c r="BG295" s="199">
        <f t="shared" si="36"/>
        <v>0</v>
      </c>
      <c r="BH295" s="199">
        <f t="shared" si="37"/>
        <v>0</v>
      </c>
      <c r="BI295" s="199">
        <f t="shared" si="38"/>
        <v>0</v>
      </c>
      <c r="BJ295" s="199">
        <f t="shared" si="39"/>
        <v>0</v>
      </c>
    </row>
    <row r="296" spans="2:62" s="199" customFormat="1" ht="15">
      <c r="B296" s="188" t="str">
        <f t="shared" si="20"/>
        <v/>
      </c>
      <c r="C296" s="194" t="str">
        <f t="shared" si="21"/>
        <v/>
      </c>
      <c r="D296" s="195">
        <f t="shared" si="22"/>
        <v>0</v>
      </c>
      <c r="E296" s="182">
        <f t="shared" si="30"/>
        <v>0</v>
      </c>
      <c r="F296" s="196">
        <f t="shared" si="19"/>
        <v>0</v>
      </c>
      <c r="G296" s="195" cm="1">
        <f t="array" ref="G296">IF(K49="", _xlfn.IFS($C296="Angle",(D296*I296)+G295,$C296="Loop",$G$289,$C296="",G295,$C296="End",G295,$C296="&gt;",G295+D296,$C296="&lt;",G295-D296,OR($C296="Λ",$C296="V"),G295), K49)</f>
        <v>3.5</v>
      </c>
      <c r="H296" s="195" cm="1">
        <f t="array" ref="H296">IF(L49="",_xlfn.IFS($C296="Angle",(D296*J296)+H295,$C296="Loop",$H$289,$C296="",H295,$C296="End",H295,$C296="Λ",H295+D296,$C296="V",H295-D296,OR($C296="&lt;",$C296="&gt;"),H295),L49)</f>
        <v>-5</v>
      </c>
      <c r="I296" s="197">
        <f t="shared" si="23"/>
        <v>1</v>
      </c>
      <c r="J296" s="197">
        <f t="shared" si="24"/>
        <v>0</v>
      </c>
      <c r="K296" s="176" t="str">
        <f t="shared" si="25"/>
        <v/>
      </c>
      <c r="L296" s="176" t="str">
        <f t="shared" si="26"/>
        <v/>
      </c>
      <c r="M296" s="176">
        <f t="shared" si="31"/>
        <v>0</v>
      </c>
      <c r="N296" s="236">
        <f t="shared" si="32"/>
        <v>0</v>
      </c>
      <c r="O296" s="41" t="str">
        <f t="shared" si="27"/>
        <v>TOWER</v>
      </c>
      <c r="P296" s="41"/>
      <c r="Q296" s="41" t="str">
        <f t="shared" si="28"/>
        <v>TOWER600.txt</v>
      </c>
      <c r="R296" s="41"/>
      <c r="S296" s="41"/>
      <c r="T296" s="41"/>
      <c r="U296" s="41"/>
      <c r="V296" s="41"/>
      <c r="W296" s="41"/>
      <c r="X296" s="41"/>
      <c r="Y296" s="41"/>
      <c r="Z296" s="41"/>
      <c r="AA296" s="41"/>
      <c r="AB296" s="41"/>
      <c r="AC296" s="41"/>
      <c r="AD296" s="41"/>
      <c r="AE296" s="41"/>
      <c r="AF296" s="41"/>
      <c r="AG296" s="41"/>
      <c r="AH296" s="41"/>
      <c r="AI296" s="41"/>
      <c r="AJ296" s="41"/>
      <c r="AK296" s="41"/>
      <c r="AL296" s="41"/>
      <c r="AM296" s="41"/>
      <c r="AN296" s="41"/>
      <c r="AO296" s="41"/>
      <c r="AP296" s="41"/>
      <c r="AQ296" s="41"/>
      <c r="AR296" s="41"/>
      <c r="AS296" s="41"/>
      <c r="BB296" s="235">
        <f t="shared" si="29"/>
        <v>0</v>
      </c>
      <c r="BC296" s="235">
        <f t="shared" si="33"/>
        <v>0</v>
      </c>
      <c r="BD296" s="235">
        <f t="shared" si="34"/>
        <v>0</v>
      </c>
      <c r="BE296" s="235">
        <f t="shared" si="35"/>
        <v>0</v>
      </c>
      <c r="BG296" s="199">
        <f t="shared" si="36"/>
        <v>0</v>
      </c>
      <c r="BH296" s="199">
        <f t="shared" si="37"/>
        <v>0</v>
      </c>
      <c r="BI296" s="199">
        <f t="shared" si="38"/>
        <v>0</v>
      </c>
      <c r="BJ296" s="199">
        <f t="shared" si="39"/>
        <v>0</v>
      </c>
    </row>
    <row r="297" spans="2:62" s="199" customFormat="1" ht="15">
      <c r="B297" s="188" t="str">
        <f t="shared" si="20"/>
        <v/>
      </c>
      <c r="C297" s="194" t="str">
        <f t="shared" si="21"/>
        <v/>
      </c>
      <c r="D297" s="195">
        <f t="shared" si="22"/>
        <v>0</v>
      </c>
      <c r="E297" s="182">
        <f t="shared" si="30"/>
        <v>0</v>
      </c>
      <c r="F297" s="196">
        <f t="shared" si="19"/>
        <v>0</v>
      </c>
      <c r="G297" s="195" cm="1">
        <f t="array" ref="G297">IF(K50="", _xlfn.IFS($C297="Angle",(D297*I297)+G296,$C297="Loop",$G$289,$C297="",G296,$C297="End",G296,$C297="&gt;",G296+D297,$C297="&lt;",G296-D297,OR($C297="Λ",$C297="V"),G296), K50)</f>
        <v>3.5</v>
      </c>
      <c r="H297" s="195" cm="1">
        <f t="array" ref="H297">IF(L50="",_xlfn.IFS($C297="Angle",(D297*J297)+H296,$C297="Loop",$H$289,$C297="",H296,$C297="End",H296,$C297="Λ",H296+D297,$C297="V",H296-D297,OR($C297="&lt;",$C297="&gt;"),H296),L50)</f>
        <v>-5</v>
      </c>
      <c r="I297" s="197">
        <f t="shared" si="23"/>
        <v>1</v>
      </c>
      <c r="J297" s="197">
        <f t="shared" si="24"/>
        <v>0</v>
      </c>
      <c r="K297" s="176" t="str">
        <f t="shared" si="25"/>
        <v/>
      </c>
      <c r="L297" s="176" t="str">
        <f t="shared" si="26"/>
        <v/>
      </c>
      <c r="M297" s="176">
        <f t="shared" si="31"/>
        <v>0</v>
      </c>
      <c r="N297" s="236">
        <f t="shared" si="32"/>
        <v>0</v>
      </c>
      <c r="O297" s="41" t="str">
        <f t="shared" si="27"/>
        <v>TOWER</v>
      </c>
      <c r="P297" s="41"/>
      <c r="Q297" s="41" t="str">
        <f t="shared" si="28"/>
        <v>TOWER600.txt</v>
      </c>
      <c r="R297" s="41"/>
      <c r="S297" s="41"/>
      <c r="T297" s="41"/>
      <c r="U297" s="41"/>
      <c r="V297" s="41"/>
      <c r="W297" s="41"/>
      <c r="X297" s="41"/>
      <c r="Y297" s="41"/>
      <c r="Z297" s="41"/>
      <c r="AA297" s="41"/>
      <c r="AB297" s="41"/>
      <c r="AC297" s="41"/>
      <c r="AD297" s="41"/>
      <c r="AE297" s="41"/>
      <c r="AF297" s="41"/>
      <c r="AG297" s="41"/>
      <c r="AH297" s="41"/>
      <c r="AI297" s="41"/>
      <c r="AJ297" s="41"/>
      <c r="AK297" s="41"/>
      <c r="AL297" s="41"/>
      <c r="AM297" s="41"/>
      <c r="AN297" s="41"/>
      <c r="AO297" s="41"/>
      <c r="AP297" s="41"/>
      <c r="AQ297" s="41"/>
      <c r="AR297" s="41"/>
      <c r="AS297" s="41"/>
      <c r="BB297" s="235">
        <f t="shared" si="29"/>
        <v>0</v>
      </c>
      <c r="BC297" s="235">
        <f t="shared" si="33"/>
        <v>0</v>
      </c>
      <c r="BD297" s="235">
        <f t="shared" si="34"/>
        <v>0</v>
      </c>
      <c r="BE297" s="235">
        <f t="shared" si="35"/>
        <v>0</v>
      </c>
      <c r="BG297" s="199">
        <f t="shared" si="36"/>
        <v>0</v>
      </c>
      <c r="BH297" s="199">
        <f t="shared" si="37"/>
        <v>0</v>
      </c>
      <c r="BI297" s="199">
        <f t="shared" si="38"/>
        <v>0</v>
      </c>
      <c r="BJ297" s="199">
        <f t="shared" si="39"/>
        <v>0</v>
      </c>
    </row>
    <row r="298" spans="2:62" s="199" customFormat="1" ht="15">
      <c r="B298" s="188" t="str">
        <f t="shared" si="20"/>
        <v/>
      </c>
      <c r="C298" s="194" t="str">
        <f t="shared" si="21"/>
        <v/>
      </c>
      <c r="D298" s="195">
        <f t="shared" si="22"/>
        <v>0</v>
      </c>
      <c r="E298" s="182">
        <f t="shared" ref="E298:E344" si="40">+IF(F51="",0,F51)</f>
        <v>0</v>
      </c>
      <c r="F298" s="196">
        <f t="shared" si="19"/>
        <v>0</v>
      </c>
      <c r="G298" s="195" cm="1">
        <f t="array" ref="G298">IF(K51="", _xlfn.IFS($C298="Angle",(D298*I298)+G297,$C298="Loop",$G$289,$C298="",G297,$C298="End",G297,$C298="&gt;",G297+D298,$C298="&lt;",G297-D298,OR($C298="Λ",$C298="V"),G297), K51)</f>
        <v>3.5</v>
      </c>
      <c r="H298" s="195" cm="1">
        <f t="array" ref="H298">IF(L51="",_xlfn.IFS($C298="Angle",(D298*J298)+H297,$C298="Loop",$H$289,$C298="",H297,$C298="End",H297,$C298="Λ",H297+D298,$C298="V",H297-D298,OR($C298="&lt;",$C298="&gt;"),H297),L51)</f>
        <v>-5</v>
      </c>
      <c r="I298" s="197">
        <f t="shared" si="23"/>
        <v>1</v>
      </c>
      <c r="J298" s="197">
        <f t="shared" si="24"/>
        <v>0</v>
      </c>
      <c r="K298" s="176" t="str">
        <f t="shared" si="25"/>
        <v/>
      </c>
      <c r="L298" s="176" t="str">
        <f t="shared" si="26"/>
        <v/>
      </c>
      <c r="M298" s="176">
        <f t="shared" si="31"/>
        <v>0</v>
      </c>
      <c r="N298" s="236">
        <f t="shared" si="32"/>
        <v>0</v>
      </c>
      <c r="O298" s="41" t="str">
        <f t="shared" si="27"/>
        <v>TOWER</v>
      </c>
      <c r="P298" s="41"/>
      <c r="Q298" s="41" t="str">
        <f t="shared" si="28"/>
        <v>TOWER600.txt</v>
      </c>
      <c r="R298" s="41"/>
      <c r="S298" s="41"/>
      <c r="T298" s="41"/>
      <c r="U298" s="41"/>
      <c r="V298" s="41"/>
      <c r="W298" s="41"/>
      <c r="X298" s="41"/>
      <c r="Y298" s="41"/>
      <c r="Z298" s="41"/>
      <c r="AA298" s="41"/>
      <c r="AB298" s="41"/>
      <c r="AC298" s="41"/>
      <c r="AD298" s="41"/>
      <c r="AE298" s="41"/>
      <c r="AF298" s="41"/>
      <c r="AG298" s="41"/>
      <c r="AH298" s="41"/>
      <c r="AI298" s="41"/>
      <c r="AJ298" s="41"/>
      <c r="AK298" s="41"/>
      <c r="AL298" s="41"/>
      <c r="AM298" s="41"/>
      <c r="AN298" s="41"/>
      <c r="AO298" s="41"/>
      <c r="AP298" s="41"/>
      <c r="AQ298" s="41"/>
      <c r="AR298" s="41"/>
      <c r="AS298" s="41"/>
      <c r="BB298" s="235">
        <f t="shared" si="29"/>
        <v>0</v>
      </c>
      <c r="BC298" s="235">
        <f t="shared" si="33"/>
        <v>0</v>
      </c>
      <c r="BD298" s="235">
        <f t="shared" si="34"/>
        <v>0</v>
      </c>
      <c r="BE298" s="235">
        <f t="shared" si="35"/>
        <v>0</v>
      </c>
      <c r="BG298" s="199">
        <f t="shared" si="36"/>
        <v>0</v>
      </c>
      <c r="BH298" s="199">
        <f t="shared" si="37"/>
        <v>0</v>
      </c>
      <c r="BI298" s="199">
        <f t="shared" si="38"/>
        <v>0</v>
      </c>
      <c r="BJ298" s="199">
        <f t="shared" si="39"/>
        <v>0</v>
      </c>
    </row>
    <row r="299" spans="2:62" s="199" customFormat="1" ht="15">
      <c r="B299" s="188" t="str">
        <f t="shared" si="20"/>
        <v/>
      </c>
      <c r="C299" s="194" t="str">
        <f t="shared" si="21"/>
        <v/>
      </c>
      <c r="D299" s="195">
        <f t="shared" si="22"/>
        <v>0</v>
      </c>
      <c r="E299" s="182">
        <f t="shared" si="40"/>
        <v>0</v>
      </c>
      <c r="F299" s="196">
        <f t="shared" si="19"/>
        <v>0</v>
      </c>
      <c r="G299" s="195" cm="1">
        <f t="array" ref="G299">IF(K52="", _xlfn.IFS($C299="Angle",(D299*I299)+G298,$C299="Loop",$G$289,$C299="",G298,$C299="End",G298,$C299="&gt;",G298+D299,$C299="&lt;",G298-D299,OR($C299="Λ",$C299="V"),G298), K52)</f>
        <v>3.5</v>
      </c>
      <c r="H299" s="195" cm="1">
        <f t="array" ref="H299">IF(L52="",_xlfn.IFS($C299="Angle",(D299*J299)+H298,$C299="Loop",$H$289,$C299="",H298,$C299="End",H298,$C299="Λ",H298+D299,$C299="V",H298-D299,OR($C299="&lt;",$C299="&gt;"),H298),L52)</f>
        <v>-5</v>
      </c>
      <c r="I299" s="197">
        <f t="shared" si="23"/>
        <v>1</v>
      </c>
      <c r="J299" s="197">
        <f t="shared" si="24"/>
        <v>0</v>
      </c>
      <c r="K299" s="176" t="str">
        <f t="shared" si="25"/>
        <v/>
      </c>
      <c r="L299" s="176" t="str">
        <f t="shared" si="26"/>
        <v/>
      </c>
      <c r="M299" s="176">
        <f t="shared" si="31"/>
        <v>0</v>
      </c>
      <c r="N299" s="236">
        <f t="shared" si="32"/>
        <v>0</v>
      </c>
      <c r="O299" s="41" t="str">
        <f t="shared" si="27"/>
        <v>TOWER</v>
      </c>
      <c r="P299" s="41"/>
      <c r="Q299" s="41" t="str">
        <f t="shared" si="28"/>
        <v>TOWER600.txt</v>
      </c>
      <c r="R299" s="41"/>
      <c r="S299" s="41"/>
      <c r="T299" s="41"/>
      <c r="U299" s="41"/>
      <c r="V299" s="41"/>
      <c r="W299" s="41"/>
      <c r="X299" s="41"/>
      <c r="Y299" s="41"/>
      <c r="Z299" s="41"/>
      <c r="AA299" s="41"/>
      <c r="AB299" s="41"/>
      <c r="AC299" s="41"/>
      <c r="AD299" s="41"/>
      <c r="AE299" s="41"/>
      <c r="AF299" s="41"/>
      <c r="AG299" s="41"/>
      <c r="AH299" s="41"/>
      <c r="AI299" s="41"/>
      <c r="AJ299" s="41"/>
      <c r="AK299" s="41"/>
      <c r="AL299" s="41"/>
      <c r="AM299" s="41"/>
      <c r="AN299" s="41"/>
      <c r="AO299" s="41"/>
      <c r="AP299" s="41"/>
      <c r="AQ299" s="41"/>
      <c r="AR299" s="41"/>
      <c r="AS299" s="41"/>
      <c r="BB299" s="235">
        <f t="shared" si="29"/>
        <v>0</v>
      </c>
      <c r="BC299" s="235">
        <f t="shared" si="33"/>
        <v>0</v>
      </c>
      <c r="BD299" s="235">
        <f t="shared" si="34"/>
        <v>0</v>
      </c>
      <c r="BE299" s="235">
        <f t="shared" si="35"/>
        <v>0</v>
      </c>
      <c r="BG299" s="199">
        <f t="shared" si="36"/>
        <v>0</v>
      </c>
      <c r="BH299" s="199">
        <f t="shared" si="37"/>
        <v>0</v>
      </c>
      <c r="BI299" s="199">
        <f t="shared" si="38"/>
        <v>0</v>
      </c>
      <c r="BJ299" s="199">
        <f t="shared" si="39"/>
        <v>0</v>
      </c>
    </row>
    <row r="300" spans="2:62" s="199" customFormat="1" ht="15">
      <c r="B300" s="188" t="str">
        <f t="shared" si="20"/>
        <v/>
      </c>
      <c r="C300" s="194" t="str">
        <f t="shared" si="21"/>
        <v/>
      </c>
      <c r="D300" s="195">
        <f t="shared" si="22"/>
        <v>0</v>
      </c>
      <c r="E300" s="182">
        <f t="shared" si="40"/>
        <v>0</v>
      </c>
      <c r="F300" s="196">
        <f t="shared" si="19"/>
        <v>0</v>
      </c>
      <c r="G300" s="195" cm="1">
        <f t="array" ref="G300">IF(K53="", _xlfn.IFS($C300="Angle",(D300*I300)+G299,$C300="Loop",$G$289,$C300="",G299,$C300="End",G299,$C300="&gt;",G299+D300,$C300="&lt;",G299-D300,OR($C300="Λ",$C300="V"),G299), K53)</f>
        <v>3.5</v>
      </c>
      <c r="H300" s="195" cm="1">
        <f t="array" ref="H300">IF(L53="",_xlfn.IFS($C300="Angle",(D300*J300)+H299,$C300="Loop",$H$289,$C300="",H299,$C300="End",H299,$C300="Λ",H299+D300,$C300="V",H299-D300,OR($C300="&lt;",$C300="&gt;"),H299),L53)</f>
        <v>-5</v>
      </c>
      <c r="I300" s="197">
        <f t="shared" si="23"/>
        <v>1</v>
      </c>
      <c r="J300" s="197">
        <f t="shared" si="24"/>
        <v>0</v>
      </c>
      <c r="K300" s="176" t="str">
        <f t="shared" si="25"/>
        <v/>
      </c>
      <c r="L300" s="176" t="str">
        <f t="shared" si="26"/>
        <v/>
      </c>
      <c r="M300" s="176">
        <f t="shared" si="31"/>
        <v>0</v>
      </c>
      <c r="N300" s="236">
        <f t="shared" si="32"/>
        <v>0</v>
      </c>
      <c r="O300" s="41" t="str">
        <f t="shared" si="27"/>
        <v>TOWER</v>
      </c>
      <c r="P300" s="41"/>
      <c r="Q300" s="41" t="str">
        <f t="shared" si="28"/>
        <v>TOWER600.txt</v>
      </c>
      <c r="R300" s="41"/>
      <c r="S300" s="41"/>
      <c r="T300" s="41"/>
      <c r="U300" s="41"/>
      <c r="V300" s="41"/>
      <c r="W300" s="41"/>
      <c r="X300" s="41"/>
      <c r="Y300" s="41"/>
      <c r="Z300" s="41"/>
      <c r="AA300" s="41"/>
      <c r="AB300" s="41"/>
      <c r="AC300" s="41"/>
      <c r="AD300" s="41"/>
      <c r="AE300" s="41"/>
      <c r="AF300" s="41"/>
      <c r="AG300" s="41"/>
      <c r="AH300" s="41"/>
      <c r="AI300" s="41"/>
      <c r="AJ300" s="41"/>
      <c r="AK300" s="41"/>
      <c r="AL300" s="41"/>
      <c r="AM300" s="41"/>
      <c r="AN300" s="41"/>
      <c r="AO300" s="41"/>
      <c r="AP300" s="41"/>
      <c r="AQ300" s="41"/>
      <c r="AR300" s="41"/>
      <c r="AS300" s="41"/>
      <c r="BB300" s="235">
        <f t="shared" si="29"/>
        <v>0</v>
      </c>
      <c r="BC300" s="235">
        <f t="shared" si="33"/>
        <v>0</v>
      </c>
      <c r="BD300" s="235">
        <f t="shared" si="34"/>
        <v>0</v>
      </c>
      <c r="BE300" s="235">
        <f t="shared" si="35"/>
        <v>0</v>
      </c>
      <c r="BG300" s="199">
        <f t="shared" si="36"/>
        <v>0</v>
      </c>
      <c r="BH300" s="199">
        <f t="shared" si="37"/>
        <v>0</v>
      </c>
      <c r="BI300" s="199">
        <f t="shared" si="38"/>
        <v>0</v>
      </c>
      <c r="BJ300" s="199">
        <f t="shared" si="39"/>
        <v>0</v>
      </c>
    </row>
    <row r="301" spans="2:62" s="199" customFormat="1" ht="15">
      <c r="B301" s="188" t="str">
        <f t="shared" si="20"/>
        <v/>
      </c>
      <c r="C301" s="194" t="str">
        <f t="shared" si="21"/>
        <v/>
      </c>
      <c r="D301" s="195">
        <f t="shared" si="22"/>
        <v>0</v>
      </c>
      <c r="E301" s="182">
        <f t="shared" si="40"/>
        <v>0</v>
      </c>
      <c r="F301" s="196">
        <f t="shared" si="19"/>
        <v>0</v>
      </c>
      <c r="G301" s="195" cm="1">
        <f t="array" ref="G301">IF(K54="", _xlfn.IFS($C301="Angle",(D301*I301)+G300,$C301="Loop",$G$289,$C301="",G300,$C301="End",G300,$C301="&gt;",G300+D301,$C301="&lt;",G300-D301,OR($C301="Λ",$C301="V"),G300), K54)</f>
        <v>3.5</v>
      </c>
      <c r="H301" s="195" cm="1">
        <f t="array" ref="H301">IF(L54="",_xlfn.IFS($C301="Angle",(D301*J301)+H300,$C301="Loop",$H$289,$C301="",H300,$C301="End",H300,$C301="Λ",H300+D301,$C301="V",H300-D301,OR($C301="&lt;",$C301="&gt;"),H300),L54)</f>
        <v>-5</v>
      </c>
      <c r="I301" s="197">
        <f t="shared" si="23"/>
        <v>1</v>
      </c>
      <c r="J301" s="197">
        <f t="shared" si="24"/>
        <v>0</v>
      </c>
      <c r="K301" s="176" t="str">
        <f t="shared" si="25"/>
        <v/>
      </c>
      <c r="L301" s="176" t="str">
        <f t="shared" si="26"/>
        <v/>
      </c>
      <c r="M301" s="176">
        <f t="shared" si="31"/>
        <v>0</v>
      </c>
      <c r="N301" s="236">
        <f t="shared" si="32"/>
        <v>0</v>
      </c>
      <c r="O301" s="41" t="str">
        <f t="shared" si="27"/>
        <v>TOWER</v>
      </c>
      <c r="P301" s="41"/>
      <c r="Q301" s="41" t="str">
        <f t="shared" si="28"/>
        <v>TOWER600.txt</v>
      </c>
      <c r="R301" s="41"/>
      <c r="S301" s="41"/>
      <c r="T301" s="41"/>
      <c r="U301" s="41"/>
      <c r="V301" s="41"/>
      <c r="W301" s="41"/>
      <c r="X301" s="41"/>
      <c r="Y301" s="41"/>
      <c r="Z301" s="41"/>
      <c r="AA301" s="41"/>
      <c r="AB301" s="41"/>
      <c r="AC301" s="41"/>
      <c r="AD301" s="41"/>
      <c r="AE301" s="41"/>
      <c r="AF301" s="41"/>
      <c r="AG301" s="41"/>
      <c r="AH301" s="41"/>
      <c r="AI301" s="41"/>
      <c r="AJ301" s="41"/>
      <c r="AK301" s="41"/>
      <c r="AL301" s="41"/>
      <c r="AM301" s="41"/>
      <c r="AN301" s="41"/>
      <c r="AO301" s="41"/>
      <c r="AP301" s="41"/>
      <c r="AQ301" s="41"/>
      <c r="AR301" s="41"/>
      <c r="AS301" s="41"/>
      <c r="BB301" s="235">
        <f t="shared" si="29"/>
        <v>0</v>
      </c>
      <c r="BC301" s="235">
        <f t="shared" si="33"/>
        <v>0</v>
      </c>
      <c r="BD301" s="235">
        <f t="shared" si="34"/>
        <v>0</v>
      </c>
      <c r="BE301" s="235">
        <f t="shared" si="35"/>
        <v>0</v>
      </c>
      <c r="BG301" s="199">
        <f t="shared" si="36"/>
        <v>0</v>
      </c>
      <c r="BH301" s="199">
        <f t="shared" si="37"/>
        <v>0</v>
      </c>
      <c r="BI301" s="199">
        <f t="shared" si="38"/>
        <v>0</v>
      </c>
      <c r="BJ301" s="199">
        <f t="shared" si="39"/>
        <v>0</v>
      </c>
    </row>
    <row r="302" spans="2:62" s="199" customFormat="1" ht="15">
      <c r="B302" s="188" t="str">
        <f t="shared" si="20"/>
        <v/>
      </c>
      <c r="C302" s="194" t="str">
        <f t="shared" si="21"/>
        <v/>
      </c>
      <c r="D302" s="195">
        <f t="shared" si="22"/>
        <v>0</v>
      </c>
      <c r="E302" s="182">
        <f t="shared" si="40"/>
        <v>0</v>
      </c>
      <c r="F302" s="196">
        <f t="shared" si="19"/>
        <v>0</v>
      </c>
      <c r="G302" s="195" cm="1">
        <f t="array" ref="G302">IF(K55="", _xlfn.IFS($C302="Angle",(D302*I302)+G301,$C302="Loop",$G$289,$C302="",G301,$C302="End",G301,$C302="&gt;",G301+D302,$C302="&lt;",G301-D302,OR($C302="Λ",$C302="V"),G301), K55)</f>
        <v>3.5</v>
      </c>
      <c r="H302" s="195" cm="1">
        <f t="array" ref="H302">IF(L55="",_xlfn.IFS($C302="Angle",(D302*J302)+H301,$C302="Loop",$H$289,$C302="",H301,$C302="End",H301,$C302="Λ",H301+D302,$C302="V",H301-D302,OR($C302="&lt;",$C302="&gt;"),H301),L55)</f>
        <v>-5</v>
      </c>
      <c r="I302" s="197">
        <f t="shared" si="23"/>
        <v>1</v>
      </c>
      <c r="J302" s="197">
        <f t="shared" si="24"/>
        <v>0</v>
      </c>
      <c r="K302" s="176" t="str">
        <f t="shared" si="25"/>
        <v/>
      </c>
      <c r="L302" s="176" t="str">
        <f t="shared" si="26"/>
        <v/>
      </c>
      <c r="M302" s="176">
        <f t="shared" si="31"/>
        <v>0</v>
      </c>
      <c r="N302" s="236">
        <f t="shared" si="32"/>
        <v>0</v>
      </c>
      <c r="O302" s="41" t="str">
        <f t="shared" si="27"/>
        <v>TOWER</v>
      </c>
      <c r="P302" s="41"/>
      <c r="Q302" s="41" t="str">
        <f t="shared" si="28"/>
        <v>TOWER600.txt</v>
      </c>
      <c r="R302" s="41"/>
      <c r="S302" s="41"/>
      <c r="T302" s="41"/>
      <c r="U302" s="41"/>
      <c r="V302" s="41"/>
      <c r="W302" s="41"/>
      <c r="X302" s="41"/>
      <c r="Y302" s="41"/>
      <c r="Z302" s="41"/>
      <c r="AA302" s="41"/>
      <c r="AB302" s="41"/>
      <c r="AC302" s="41"/>
      <c r="AD302" s="41"/>
      <c r="AE302" s="41"/>
      <c r="AF302" s="41"/>
      <c r="AG302" s="41"/>
      <c r="AH302" s="41"/>
      <c r="AI302" s="41"/>
      <c r="AJ302" s="41"/>
      <c r="AK302" s="41"/>
      <c r="AL302" s="41"/>
      <c r="AM302" s="41"/>
      <c r="AN302" s="41"/>
      <c r="AO302" s="41"/>
      <c r="AP302" s="41"/>
      <c r="AQ302" s="41"/>
      <c r="AR302" s="41"/>
      <c r="AS302" s="41"/>
      <c r="BB302" s="235">
        <f t="shared" si="29"/>
        <v>0</v>
      </c>
      <c r="BC302" s="235">
        <f t="shared" si="33"/>
        <v>0</v>
      </c>
      <c r="BD302" s="235">
        <f t="shared" si="34"/>
        <v>0</v>
      </c>
      <c r="BE302" s="235">
        <f t="shared" si="35"/>
        <v>0</v>
      </c>
      <c r="BG302" s="199">
        <f t="shared" si="36"/>
        <v>0</v>
      </c>
      <c r="BH302" s="199">
        <f t="shared" si="37"/>
        <v>0</v>
      </c>
      <c r="BI302" s="199">
        <f t="shared" si="38"/>
        <v>0</v>
      </c>
      <c r="BJ302" s="199">
        <f t="shared" si="39"/>
        <v>0</v>
      </c>
    </row>
    <row r="303" spans="2:62" s="199" customFormat="1" ht="15">
      <c r="B303" s="188" t="str">
        <f t="shared" si="20"/>
        <v/>
      </c>
      <c r="C303" s="194" t="str">
        <f t="shared" si="21"/>
        <v/>
      </c>
      <c r="D303" s="195">
        <f t="shared" si="22"/>
        <v>0</v>
      </c>
      <c r="E303" s="182">
        <f t="shared" si="40"/>
        <v>0</v>
      </c>
      <c r="F303" s="196">
        <f t="shared" si="19"/>
        <v>0</v>
      </c>
      <c r="G303" s="195" cm="1">
        <f t="array" ref="G303">IF(K56="", _xlfn.IFS($C303="Angle",(D303*I303)+G302,$C303="Loop",$G$289,$C303="",G302,$C303="End",G302,$C303="&gt;",G302+D303,$C303="&lt;",G302-D303,OR($C303="Λ",$C303="V"),G302), K56)</f>
        <v>3.5</v>
      </c>
      <c r="H303" s="195" cm="1">
        <f t="array" ref="H303">IF(L56="",_xlfn.IFS($C303="Angle",(D303*J303)+H302,$C303="Loop",$H$289,$C303="",H302,$C303="End",H302,$C303="Λ",H302+D303,$C303="V",H302-D303,OR($C303="&lt;",$C303="&gt;"),H302),L56)</f>
        <v>-5</v>
      </c>
      <c r="I303" s="197">
        <f t="shared" si="23"/>
        <v>1</v>
      </c>
      <c r="J303" s="197">
        <f t="shared" si="24"/>
        <v>0</v>
      </c>
      <c r="K303" s="176" t="str">
        <f t="shared" si="25"/>
        <v/>
      </c>
      <c r="L303" s="176" t="str">
        <f t="shared" si="26"/>
        <v/>
      </c>
      <c r="M303" s="176">
        <f t="shared" si="31"/>
        <v>0</v>
      </c>
      <c r="N303" s="236">
        <f t="shared" si="32"/>
        <v>0</v>
      </c>
      <c r="O303" s="41" t="str">
        <f t="shared" si="27"/>
        <v>TOWER</v>
      </c>
      <c r="P303" s="41"/>
      <c r="Q303" s="41" t="str">
        <f t="shared" si="28"/>
        <v>TOWER600.txt</v>
      </c>
      <c r="R303" s="41"/>
      <c r="S303" s="41"/>
      <c r="T303" s="41"/>
      <c r="U303" s="41"/>
      <c r="V303" s="41"/>
      <c r="W303" s="41"/>
      <c r="X303" s="41"/>
      <c r="Y303" s="41"/>
      <c r="Z303" s="41"/>
      <c r="AA303" s="41"/>
      <c r="AB303" s="41"/>
      <c r="AC303" s="41"/>
      <c r="AD303" s="41"/>
      <c r="AE303" s="41"/>
      <c r="AF303" s="41"/>
      <c r="AG303" s="41"/>
      <c r="AH303" s="41"/>
      <c r="AI303" s="41"/>
      <c r="AJ303" s="41"/>
      <c r="AK303" s="41"/>
      <c r="AL303" s="41"/>
      <c r="AM303" s="41"/>
      <c r="AN303" s="41"/>
      <c r="AO303" s="41"/>
      <c r="AP303" s="41"/>
      <c r="AQ303" s="41"/>
      <c r="AR303" s="41"/>
      <c r="AS303" s="41"/>
      <c r="BB303" s="235">
        <f t="shared" si="29"/>
        <v>0</v>
      </c>
      <c r="BC303" s="235">
        <f t="shared" si="33"/>
        <v>0</v>
      </c>
      <c r="BD303" s="235">
        <f t="shared" si="34"/>
        <v>0</v>
      </c>
      <c r="BE303" s="235">
        <f t="shared" si="35"/>
        <v>0</v>
      </c>
      <c r="BG303" s="199">
        <f t="shared" si="36"/>
        <v>0</v>
      </c>
      <c r="BH303" s="199">
        <f t="shared" si="37"/>
        <v>0</v>
      </c>
      <c r="BI303" s="199">
        <f t="shared" si="38"/>
        <v>0</v>
      </c>
      <c r="BJ303" s="199">
        <f t="shared" si="39"/>
        <v>0</v>
      </c>
    </row>
    <row r="304" spans="2:62" s="199" customFormat="1" ht="15">
      <c r="B304" s="188" t="str">
        <f t="shared" si="20"/>
        <v/>
      </c>
      <c r="C304" s="194" t="str">
        <f t="shared" si="21"/>
        <v/>
      </c>
      <c r="D304" s="195">
        <f t="shared" si="22"/>
        <v>0</v>
      </c>
      <c r="E304" s="182">
        <f t="shared" si="40"/>
        <v>0</v>
      </c>
      <c r="F304" s="196">
        <f t="shared" si="19"/>
        <v>0</v>
      </c>
      <c r="G304" s="195" cm="1">
        <f t="array" ref="G304">IF(K57="", _xlfn.IFS($C304="Angle",(D304*I304)+G303,$C304="Loop",$G$289,$C304="",G303,$C304="End",G303,$C304="&gt;",G303+D304,$C304="&lt;",G303-D304,OR($C304="Λ",$C304="V"),G303), K57)</f>
        <v>3.5</v>
      </c>
      <c r="H304" s="195" cm="1">
        <f t="array" ref="H304">IF(L57="",_xlfn.IFS($C304="Angle",(D304*J304)+H303,$C304="Loop",$H$289,$C304="",H303,$C304="End",H303,$C304="Λ",H303+D304,$C304="V",H303-D304,OR($C304="&lt;",$C304="&gt;"),H303),L57)</f>
        <v>-5</v>
      </c>
      <c r="I304" s="197">
        <f t="shared" si="23"/>
        <v>1</v>
      </c>
      <c r="J304" s="197">
        <f t="shared" si="24"/>
        <v>0</v>
      </c>
      <c r="K304" s="176" t="str">
        <f t="shared" si="25"/>
        <v/>
      </c>
      <c r="L304" s="176" t="str">
        <f t="shared" si="26"/>
        <v/>
      </c>
      <c r="M304" s="176">
        <f t="shared" si="31"/>
        <v>0</v>
      </c>
      <c r="N304" s="236">
        <f t="shared" si="32"/>
        <v>0</v>
      </c>
      <c r="O304" s="41" t="str">
        <f t="shared" si="27"/>
        <v>TOWER</v>
      </c>
      <c r="P304" s="41"/>
      <c r="Q304" s="41" t="str">
        <f t="shared" si="28"/>
        <v>TOWER600.txt</v>
      </c>
      <c r="R304" s="41"/>
      <c r="S304" s="41"/>
      <c r="T304" s="41"/>
      <c r="U304" s="41"/>
      <c r="V304" s="41"/>
      <c r="W304" s="41"/>
      <c r="X304" s="41"/>
      <c r="Y304" s="41"/>
      <c r="Z304" s="41"/>
      <c r="AA304" s="41"/>
      <c r="AB304" s="41"/>
      <c r="AC304" s="41"/>
      <c r="AD304" s="41"/>
      <c r="AE304" s="41"/>
      <c r="AF304" s="41"/>
      <c r="AG304" s="41"/>
      <c r="AH304" s="41"/>
      <c r="AI304" s="41"/>
      <c r="AJ304" s="41"/>
      <c r="AK304" s="41"/>
      <c r="AL304" s="41"/>
      <c r="AM304" s="41"/>
      <c r="AN304" s="41"/>
      <c r="AO304" s="41"/>
      <c r="AP304" s="41"/>
      <c r="AQ304" s="41"/>
      <c r="AR304" s="41"/>
      <c r="AS304" s="41"/>
      <c r="BB304" s="235">
        <f t="shared" si="29"/>
        <v>0</v>
      </c>
      <c r="BC304" s="235">
        <f t="shared" si="33"/>
        <v>0</v>
      </c>
      <c r="BD304" s="235">
        <f t="shared" si="34"/>
        <v>0</v>
      </c>
      <c r="BE304" s="235">
        <f t="shared" si="35"/>
        <v>0</v>
      </c>
      <c r="BG304" s="199">
        <f t="shared" si="36"/>
        <v>0</v>
      </c>
      <c r="BH304" s="199">
        <f t="shared" si="37"/>
        <v>0</v>
      </c>
      <c r="BI304" s="199">
        <f t="shared" si="38"/>
        <v>0</v>
      </c>
      <c r="BJ304" s="199">
        <f t="shared" si="39"/>
        <v>0</v>
      </c>
    </row>
    <row r="305" spans="1:69" s="199" customFormat="1" ht="15">
      <c r="B305" s="188" t="str">
        <f t="shared" si="20"/>
        <v/>
      </c>
      <c r="C305" s="194" t="str">
        <f t="shared" si="21"/>
        <v/>
      </c>
      <c r="D305" s="195">
        <f t="shared" si="22"/>
        <v>0</v>
      </c>
      <c r="E305" s="182">
        <f t="shared" si="40"/>
        <v>0</v>
      </c>
      <c r="F305" s="196">
        <f t="shared" si="19"/>
        <v>0</v>
      </c>
      <c r="G305" s="195" cm="1">
        <f t="array" ref="G305">IF(K58="", _xlfn.IFS($C305="Angle",(D305*I305)+G304,$C305="Loop",$G$289,$C305="",G304,$C305="End",G304,$C305="&gt;",G304+D305,$C305="&lt;",G304-D305,OR($C305="Λ",$C305="V"),G304), K58)</f>
        <v>3.5</v>
      </c>
      <c r="H305" s="195" cm="1">
        <f t="array" ref="H305">IF(L58="",_xlfn.IFS($C305="Angle",(D305*J305)+H304,$C305="Loop",$H$289,$C305="",H304,$C305="End",H304,$C305="Λ",H304+D305,$C305="V",H304-D305,OR($C305="&lt;",$C305="&gt;"),H304),L58)</f>
        <v>-5</v>
      </c>
      <c r="I305" s="197">
        <f t="shared" si="23"/>
        <v>1</v>
      </c>
      <c r="J305" s="197">
        <f t="shared" si="24"/>
        <v>0</v>
      </c>
      <c r="K305" s="176" t="str">
        <f t="shared" si="25"/>
        <v/>
      </c>
      <c r="L305" s="176" t="str">
        <f t="shared" si="26"/>
        <v/>
      </c>
      <c r="M305" s="176">
        <f t="shared" si="31"/>
        <v>0</v>
      </c>
      <c r="N305" s="236">
        <f t="shared" si="32"/>
        <v>0</v>
      </c>
      <c r="O305" s="41" t="str">
        <f t="shared" si="27"/>
        <v>TOWER</v>
      </c>
      <c r="P305" s="41"/>
      <c r="Q305" s="41" t="str">
        <f t="shared" si="28"/>
        <v>TOWER600.txt</v>
      </c>
      <c r="R305" s="41"/>
      <c r="S305" s="41"/>
      <c r="T305" s="41"/>
      <c r="U305" s="41"/>
      <c r="V305" s="41"/>
      <c r="W305" s="41"/>
      <c r="X305" s="41"/>
      <c r="Y305" s="41"/>
      <c r="Z305" s="41"/>
      <c r="AA305" s="41"/>
      <c r="AB305" s="41"/>
      <c r="AC305" s="41"/>
      <c r="AD305" s="41"/>
      <c r="AE305" s="41"/>
      <c r="AF305" s="41"/>
      <c r="AG305" s="41"/>
      <c r="AH305" s="41"/>
      <c r="AI305" s="41"/>
      <c r="AJ305" s="41"/>
      <c r="AK305" s="41"/>
      <c r="AL305" s="41"/>
      <c r="AM305" s="41"/>
      <c r="AN305" s="41"/>
      <c r="AO305" s="41"/>
      <c r="AP305" s="41"/>
      <c r="AQ305" s="41"/>
      <c r="AR305" s="41"/>
      <c r="AS305" s="41"/>
      <c r="BB305" s="235">
        <f t="shared" si="29"/>
        <v>0</v>
      </c>
      <c r="BC305" s="235">
        <f t="shared" si="33"/>
        <v>0</v>
      </c>
      <c r="BD305" s="235">
        <f t="shared" si="34"/>
        <v>0</v>
      </c>
      <c r="BE305" s="235">
        <f t="shared" si="35"/>
        <v>0</v>
      </c>
      <c r="BG305" s="199">
        <f t="shared" si="36"/>
        <v>0</v>
      </c>
      <c r="BH305" s="199">
        <f t="shared" si="37"/>
        <v>0</v>
      </c>
      <c r="BI305" s="199">
        <f t="shared" si="38"/>
        <v>0</v>
      </c>
      <c r="BJ305" s="199">
        <f t="shared" si="39"/>
        <v>0</v>
      </c>
    </row>
    <row r="306" spans="1:69" s="199" customFormat="1" ht="15">
      <c r="B306" s="188" t="str">
        <f t="shared" si="20"/>
        <v/>
      </c>
      <c r="C306" s="194" t="str">
        <f t="shared" si="21"/>
        <v/>
      </c>
      <c r="D306" s="195">
        <f t="shared" si="22"/>
        <v>0</v>
      </c>
      <c r="E306" s="182">
        <f t="shared" si="40"/>
        <v>0</v>
      </c>
      <c r="F306" s="196">
        <f t="shared" si="19"/>
        <v>0</v>
      </c>
      <c r="G306" s="195" cm="1">
        <f t="array" ref="G306">IF(K59="", _xlfn.IFS($C306="Angle",(D306*I306)+G305,$C306="Loop",$G$289,$C306="",G305,$C306="End",G305,$C306="&gt;",G305+D306,$C306="&lt;",G305-D306,OR($C306="Λ",$C306="V"),G305), K59)</f>
        <v>3.5</v>
      </c>
      <c r="H306" s="195" cm="1">
        <f t="array" ref="H306">IF(L59="",_xlfn.IFS($C306="Angle",(D306*J306)+H305,$C306="Loop",$H$289,$C306="",H305,$C306="End",H305,$C306="Λ",H305+D306,$C306="V",H305-D306,OR($C306="&lt;",$C306="&gt;"),H305),L59)</f>
        <v>-5</v>
      </c>
      <c r="I306" s="197">
        <f t="shared" si="23"/>
        <v>1</v>
      </c>
      <c r="J306" s="197">
        <f t="shared" si="24"/>
        <v>0</v>
      </c>
      <c r="K306" s="176" t="str">
        <f t="shared" si="25"/>
        <v/>
      </c>
      <c r="L306" s="176" t="str">
        <f t="shared" si="26"/>
        <v/>
      </c>
      <c r="M306" s="176">
        <f t="shared" si="31"/>
        <v>0</v>
      </c>
      <c r="N306" s="236">
        <f t="shared" si="32"/>
        <v>0</v>
      </c>
      <c r="O306" s="41" t="str">
        <f t="shared" si="27"/>
        <v>TOWER</v>
      </c>
      <c r="P306" s="41"/>
      <c r="Q306" s="41" t="str">
        <f t="shared" si="28"/>
        <v>TOWER600.txt</v>
      </c>
      <c r="R306" s="41"/>
      <c r="S306" s="41"/>
      <c r="T306" s="41"/>
      <c r="U306" s="41"/>
      <c r="V306" s="41"/>
      <c r="W306" s="41"/>
      <c r="X306" s="41"/>
      <c r="Y306" s="41"/>
      <c r="Z306" s="41"/>
      <c r="AA306" s="41"/>
      <c r="AB306" s="41"/>
      <c r="AC306" s="41"/>
      <c r="AD306" s="41"/>
      <c r="AE306" s="41"/>
      <c r="AF306" s="41"/>
      <c r="AG306" s="41"/>
      <c r="AH306" s="41"/>
      <c r="AI306" s="41"/>
      <c r="AJ306" s="41"/>
      <c r="AK306" s="41"/>
      <c r="AL306" s="41"/>
      <c r="AM306" s="41"/>
      <c r="AN306" s="41"/>
      <c r="AO306" s="41"/>
      <c r="AP306" s="41"/>
      <c r="AQ306" s="41"/>
      <c r="AR306" s="41"/>
      <c r="AS306" s="41"/>
      <c r="BB306" s="235">
        <f t="shared" si="29"/>
        <v>0</v>
      </c>
      <c r="BC306" s="235">
        <f t="shared" si="33"/>
        <v>0</v>
      </c>
      <c r="BD306" s="235">
        <f t="shared" si="34"/>
        <v>0</v>
      </c>
      <c r="BE306" s="235">
        <f t="shared" si="35"/>
        <v>0</v>
      </c>
      <c r="BG306" s="199">
        <f t="shared" si="36"/>
        <v>0</v>
      </c>
      <c r="BH306" s="199">
        <f t="shared" si="37"/>
        <v>0</v>
      </c>
      <c r="BI306" s="199">
        <f t="shared" si="38"/>
        <v>0</v>
      </c>
      <c r="BJ306" s="199">
        <f t="shared" si="39"/>
        <v>0</v>
      </c>
    </row>
    <row r="307" spans="1:69" s="199" customFormat="1" ht="15">
      <c r="B307" s="188" t="str">
        <f t="shared" si="20"/>
        <v/>
      </c>
      <c r="C307" s="194" t="str">
        <f t="shared" si="21"/>
        <v/>
      </c>
      <c r="D307" s="195">
        <f t="shared" si="22"/>
        <v>0</v>
      </c>
      <c r="E307" s="182">
        <f t="shared" si="40"/>
        <v>0</v>
      </c>
      <c r="F307" s="196">
        <f t="shared" si="19"/>
        <v>0</v>
      </c>
      <c r="G307" s="195" cm="1">
        <f t="array" ref="G307">IF(K60="", _xlfn.IFS($C307="Angle",(D307*I307)+G306,$C307="Loop",$G$289,$C307="",G306,$C307="End",G306,$C307="&gt;",G306+D307,$C307="&lt;",G306-D307,OR($C307="Λ",$C307="V"),G306), K60)</f>
        <v>3.5</v>
      </c>
      <c r="H307" s="195" cm="1">
        <f t="array" ref="H307">IF(L60="",_xlfn.IFS($C307="Angle",(D307*J307)+H306,$C307="Loop",$H$289,$C307="",H306,$C307="End",H306,$C307="Λ",H306+D307,$C307="V",H306-D307,OR($C307="&lt;",$C307="&gt;"),H306),L60)</f>
        <v>-5</v>
      </c>
      <c r="I307" s="197">
        <f t="shared" si="23"/>
        <v>1</v>
      </c>
      <c r="J307" s="197">
        <f t="shared" si="24"/>
        <v>0</v>
      </c>
      <c r="K307" s="176" t="str">
        <f t="shared" si="25"/>
        <v/>
      </c>
      <c r="L307" s="176" t="str">
        <f t="shared" si="26"/>
        <v/>
      </c>
      <c r="M307" s="176">
        <f t="shared" si="31"/>
        <v>0</v>
      </c>
      <c r="N307" s="236">
        <f t="shared" si="32"/>
        <v>0</v>
      </c>
      <c r="O307" s="41" t="str">
        <f t="shared" si="27"/>
        <v>TOWER</v>
      </c>
      <c r="P307" s="41"/>
      <c r="Q307" s="41" t="str">
        <f t="shared" si="28"/>
        <v>TOWER600.txt</v>
      </c>
      <c r="R307" s="41"/>
      <c r="S307" s="41"/>
      <c r="T307" s="41"/>
      <c r="U307" s="41"/>
      <c r="V307" s="41"/>
      <c r="W307" s="41"/>
      <c r="X307" s="41"/>
      <c r="Y307" s="41"/>
      <c r="Z307" s="41"/>
      <c r="AA307" s="41"/>
      <c r="AB307" s="41"/>
      <c r="AC307" s="41"/>
      <c r="AD307" s="41"/>
      <c r="AE307" s="41"/>
      <c r="AF307" s="41"/>
      <c r="AG307" s="41"/>
      <c r="AH307" s="41"/>
      <c r="AI307" s="41"/>
      <c r="AJ307" s="41"/>
      <c r="AK307" s="41"/>
      <c r="AL307" s="41"/>
      <c r="AM307" s="41"/>
      <c r="AN307" s="41"/>
      <c r="AO307" s="41"/>
      <c r="AP307" s="41"/>
      <c r="AQ307" s="41"/>
      <c r="AR307" s="41"/>
      <c r="AS307" s="41"/>
      <c r="BB307" s="235">
        <f t="shared" si="29"/>
        <v>0</v>
      </c>
      <c r="BC307" s="235">
        <f t="shared" si="33"/>
        <v>0</v>
      </c>
      <c r="BD307" s="235">
        <f t="shared" si="34"/>
        <v>0</v>
      </c>
      <c r="BE307" s="235">
        <f t="shared" si="35"/>
        <v>0</v>
      </c>
      <c r="BG307" s="199">
        <f t="shared" si="36"/>
        <v>0</v>
      </c>
      <c r="BH307" s="199">
        <f t="shared" si="37"/>
        <v>0</v>
      </c>
      <c r="BI307" s="199">
        <f t="shared" si="38"/>
        <v>0</v>
      </c>
      <c r="BJ307" s="199">
        <f t="shared" si="39"/>
        <v>0</v>
      </c>
    </row>
    <row r="308" spans="1:69" s="199" customFormat="1" ht="15">
      <c r="B308" s="188" t="str">
        <f t="shared" si="20"/>
        <v/>
      </c>
      <c r="C308" s="194" t="str">
        <f t="shared" si="21"/>
        <v/>
      </c>
      <c r="D308" s="195">
        <f t="shared" si="22"/>
        <v>0</v>
      </c>
      <c r="E308" s="182">
        <f t="shared" si="40"/>
        <v>0</v>
      </c>
      <c r="F308" s="196">
        <f t="shared" si="19"/>
        <v>0</v>
      </c>
      <c r="G308" s="195" cm="1">
        <f t="array" ref="G308">IF(K61="", _xlfn.IFS($C308="Angle",(D308*I308)+G307,$C308="Loop",$G$289,$C308="",G307,$C308="End",G307,$C308="&gt;",G307+D308,$C308="&lt;",G307-D308,OR($C308="Λ",$C308="V"),G307), K61)</f>
        <v>3.5</v>
      </c>
      <c r="H308" s="195" cm="1">
        <f t="array" ref="H308">IF(L61="",_xlfn.IFS($C308="Angle",(D308*J308)+H307,$C308="Loop",$H$289,$C308="",H307,$C308="End",H307,$C308="Λ",H307+D308,$C308="V",H307-D308,OR($C308="&lt;",$C308="&gt;"),H307),L61)</f>
        <v>-5</v>
      </c>
      <c r="I308" s="197">
        <f t="shared" si="23"/>
        <v>1</v>
      </c>
      <c r="J308" s="197">
        <f t="shared" si="24"/>
        <v>0</v>
      </c>
      <c r="K308" s="176" t="str">
        <f t="shared" si="25"/>
        <v/>
      </c>
      <c r="L308" s="176" t="str">
        <f t="shared" si="26"/>
        <v/>
      </c>
      <c r="M308" s="176">
        <f t="shared" si="31"/>
        <v>0</v>
      </c>
      <c r="N308" s="236">
        <f t="shared" si="32"/>
        <v>0</v>
      </c>
      <c r="O308" s="41" t="str">
        <f t="shared" si="27"/>
        <v>TOWER</v>
      </c>
      <c r="P308" s="41"/>
      <c r="Q308" s="41" t="str">
        <f t="shared" si="28"/>
        <v>TOWER600.txt</v>
      </c>
      <c r="R308" s="41"/>
      <c r="S308" s="41"/>
      <c r="T308" s="41"/>
      <c r="U308" s="41"/>
      <c r="V308" s="41"/>
      <c r="W308" s="41"/>
      <c r="X308" s="41"/>
      <c r="Y308" s="41"/>
      <c r="Z308" s="41"/>
      <c r="AA308" s="41"/>
      <c r="AB308" s="41"/>
      <c r="AC308" s="41"/>
      <c r="AD308" s="41"/>
      <c r="AE308" s="41"/>
      <c r="AF308" s="41"/>
      <c r="AG308" s="41"/>
      <c r="AH308" s="41"/>
      <c r="AI308" s="41"/>
      <c r="AJ308" s="41"/>
      <c r="AK308" s="41"/>
      <c r="AL308" s="41"/>
      <c r="AM308" s="41"/>
      <c r="AN308" s="41"/>
      <c r="AO308" s="41"/>
      <c r="AP308" s="41"/>
      <c r="AQ308" s="41"/>
      <c r="AR308" s="41"/>
      <c r="AS308" s="41"/>
      <c r="BB308" s="235">
        <f t="shared" si="29"/>
        <v>0</v>
      </c>
      <c r="BC308" s="235">
        <f t="shared" si="33"/>
        <v>0</v>
      </c>
      <c r="BD308" s="235">
        <f t="shared" si="34"/>
        <v>0</v>
      </c>
      <c r="BE308" s="235">
        <f t="shared" si="35"/>
        <v>0</v>
      </c>
      <c r="BG308" s="199">
        <f t="shared" si="36"/>
        <v>0</v>
      </c>
      <c r="BH308" s="199">
        <f t="shared" si="37"/>
        <v>0</v>
      </c>
      <c r="BI308" s="199">
        <f t="shared" si="38"/>
        <v>0</v>
      </c>
      <c r="BJ308" s="199">
        <f t="shared" si="39"/>
        <v>0</v>
      </c>
    </row>
    <row r="309" spans="1:69" s="199" customFormat="1" ht="15">
      <c r="B309" s="188" t="str">
        <f t="shared" si="20"/>
        <v/>
      </c>
      <c r="C309" s="194" t="str">
        <f t="shared" si="21"/>
        <v/>
      </c>
      <c r="D309" s="195">
        <f t="shared" si="22"/>
        <v>0</v>
      </c>
      <c r="E309" s="182">
        <f t="shared" si="40"/>
        <v>0</v>
      </c>
      <c r="F309" s="196">
        <f t="shared" si="19"/>
        <v>0</v>
      </c>
      <c r="G309" s="195" cm="1">
        <f t="array" ref="G309">IF(K62="", _xlfn.IFS($C309="Angle",(D309*I309)+G308,$C309="Loop",$G$289,$C309="",G308,$C309="End",G308,$C309="&gt;",G308+D309,$C309="&lt;",G308-D309,OR($C309="Λ",$C309="V"),G308), K62)</f>
        <v>3.5</v>
      </c>
      <c r="H309" s="195" cm="1">
        <f t="array" ref="H309">IF(L62="",_xlfn.IFS($C309="Angle",(D309*J309)+H308,$C309="Loop",$H$289,$C309="",H308,$C309="End",H308,$C309="Λ",H308+D309,$C309="V",H308-D309,OR($C309="&lt;",$C309="&gt;"),H308),L62)</f>
        <v>-5</v>
      </c>
      <c r="I309" s="197">
        <f t="shared" si="23"/>
        <v>1</v>
      </c>
      <c r="J309" s="197">
        <f t="shared" si="24"/>
        <v>0</v>
      </c>
      <c r="K309" s="176" t="str">
        <f t="shared" si="25"/>
        <v/>
      </c>
      <c r="L309" s="176" t="str">
        <f t="shared" si="26"/>
        <v/>
      </c>
      <c r="M309" s="176">
        <f t="shared" si="31"/>
        <v>0</v>
      </c>
      <c r="N309" s="236">
        <f t="shared" si="32"/>
        <v>0</v>
      </c>
      <c r="O309" s="41" t="str">
        <f t="shared" si="27"/>
        <v>TOWER</v>
      </c>
      <c r="P309" s="41"/>
      <c r="Q309" s="41" t="str">
        <f t="shared" si="28"/>
        <v>TOWER600.txt</v>
      </c>
      <c r="R309" s="41"/>
      <c r="S309" s="41"/>
      <c r="T309" s="41"/>
      <c r="U309" s="41"/>
      <c r="V309" s="41"/>
      <c r="W309" s="41"/>
      <c r="X309" s="41"/>
      <c r="Y309" s="41"/>
      <c r="Z309" s="41"/>
      <c r="AA309" s="41"/>
      <c r="AB309" s="41"/>
      <c r="AC309" s="41"/>
      <c r="AD309" s="41"/>
      <c r="AE309" s="41"/>
      <c r="AF309" s="41"/>
      <c r="AG309" s="41"/>
      <c r="AH309" s="41"/>
      <c r="AI309" s="41"/>
      <c r="AJ309" s="41"/>
      <c r="AK309" s="41"/>
      <c r="AL309" s="41"/>
      <c r="AM309" s="41"/>
      <c r="AN309" s="41"/>
      <c r="AO309" s="41"/>
      <c r="AP309" s="41"/>
      <c r="AQ309" s="41"/>
      <c r="AR309" s="41"/>
      <c r="AS309" s="41"/>
      <c r="BB309" s="235">
        <f t="shared" si="29"/>
        <v>0</v>
      </c>
      <c r="BC309" s="235">
        <f t="shared" si="33"/>
        <v>0</v>
      </c>
      <c r="BD309" s="235">
        <f t="shared" si="34"/>
        <v>0</v>
      </c>
      <c r="BE309" s="235">
        <f t="shared" si="35"/>
        <v>0</v>
      </c>
      <c r="BG309" s="199">
        <f t="shared" si="36"/>
        <v>0</v>
      </c>
      <c r="BH309" s="199">
        <f t="shared" si="37"/>
        <v>0</v>
      </c>
      <c r="BI309" s="199">
        <f t="shared" si="38"/>
        <v>0</v>
      </c>
      <c r="BJ309" s="199">
        <f t="shared" si="39"/>
        <v>0</v>
      </c>
    </row>
    <row r="310" spans="1:69" s="199" customFormat="1" ht="15">
      <c r="B310" s="188" t="str">
        <f t="shared" si="20"/>
        <v/>
      </c>
      <c r="C310" s="194" t="str">
        <f t="shared" si="21"/>
        <v/>
      </c>
      <c r="D310" s="195">
        <f t="shared" si="22"/>
        <v>0</v>
      </c>
      <c r="E310" s="182">
        <f t="shared" si="40"/>
        <v>0</v>
      </c>
      <c r="F310" s="196">
        <f t="shared" si="19"/>
        <v>0</v>
      </c>
      <c r="G310" s="195" cm="1">
        <f t="array" ref="G310">IF(K63="", _xlfn.IFS($C310="Angle",(D310*I310)+G309,$C310="Loop",$G$289,$C310="",G309,$C310="End",G309,$C310="&gt;",G309+D310,$C310="&lt;",G309-D310,OR($C310="Λ",$C310="V"),G309), K63)</f>
        <v>3.5</v>
      </c>
      <c r="H310" s="195" cm="1">
        <f t="array" ref="H310">IF(L63="",_xlfn.IFS($C310="Angle",(D310*J310)+H309,$C310="Loop",$H$289,$C310="",H309,$C310="End",H309,$C310="Λ",H309+D310,$C310="V",H309-D310,OR($C310="&lt;",$C310="&gt;"),H309),L63)</f>
        <v>-5</v>
      </c>
      <c r="I310" s="197">
        <f t="shared" si="23"/>
        <v>1</v>
      </c>
      <c r="J310" s="197">
        <f t="shared" si="24"/>
        <v>0</v>
      </c>
      <c r="K310" s="176" t="str">
        <f t="shared" si="25"/>
        <v/>
      </c>
      <c r="L310" s="176" t="str">
        <f t="shared" si="26"/>
        <v/>
      </c>
      <c r="M310" s="176">
        <f t="shared" si="31"/>
        <v>0</v>
      </c>
      <c r="N310" s="236">
        <f t="shared" si="32"/>
        <v>0</v>
      </c>
      <c r="O310" s="41" t="str">
        <f t="shared" si="27"/>
        <v>TOWER</v>
      </c>
      <c r="P310" s="41"/>
      <c r="Q310" s="41" t="str">
        <f t="shared" si="28"/>
        <v>TOWER600.txt</v>
      </c>
      <c r="R310" s="41"/>
      <c r="S310" s="41"/>
      <c r="T310" s="41"/>
      <c r="U310" s="41"/>
      <c r="V310" s="41"/>
      <c r="W310" s="41"/>
      <c r="X310" s="41"/>
      <c r="Y310" s="41"/>
      <c r="Z310" s="41"/>
      <c r="AA310" s="41"/>
      <c r="AB310" s="41"/>
      <c r="AC310" s="41"/>
      <c r="AD310" s="41"/>
      <c r="AE310" s="41"/>
      <c r="AF310" s="41"/>
      <c r="AG310" s="41"/>
      <c r="AH310" s="41"/>
      <c r="AI310" s="41"/>
      <c r="AJ310" s="41"/>
      <c r="AK310" s="41"/>
      <c r="AL310" s="41"/>
      <c r="AM310" s="41"/>
      <c r="AN310" s="41"/>
      <c r="AO310" s="41"/>
      <c r="AP310" s="41"/>
      <c r="AQ310" s="41"/>
      <c r="AR310" s="41"/>
      <c r="AS310" s="41"/>
      <c r="BB310" s="235">
        <f t="shared" si="29"/>
        <v>0</v>
      </c>
      <c r="BC310" s="235">
        <f t="shared" si="33"/>
        <v>0</v>
      </c>
      <c r="BD310" s="235">
        <f t="shared" si="34"/>
        <v>0</v>
      </c>
      <c r="BE310" s="235">
        <f t="shared" si="35"/>
        <v>0</v>
      </c>
      <c r="BG310" s="199">
        <f t="shared" si="36"/>
        <v>0</v>
      </c>
      <c r="BH310" s="199">
        <f t="shared" si="37"/>
        <v>0</v>
      </c>
      <c r="BI310" s="199">
        <f t="shared" si="38"/>
        <v>0</v>
      </c>
      <c r="BJ310" s="199">
        <f t="shared" si="39"/>
        <v>0</v>
      </c>
    </row>
    <row r="311" spans="1:69" s="199" customFormat="1" ht="15">
      <c r="B311" s="188" t="str">
        <f t="shared" si="20"/>
        <v/>
      </c>
      <c r="C311" s="194" t="str">
        <f t="shared" si="21"/>
        <v/>
      </c>
      <c r="D311" s="195">
        <f t="shared" si="22"/>
        <v>0</v>
      </c>
      <c r="E311" s="182">
        <f t="shared" si="40"/>
        <v>0</v>
      </c>
      <c r="F311" s="196">
        <f t="shared" si="19"/>
        <v>0</v>
      </c>
      <c r="G311" s="195" cm="1">
        <f t="array" ref="G311">IF(K64="", _xlfn.IFS($C311="Angle",(D311*I311)+G310,$C311="Loop",$G$289,$C311="",G310,$C311="End",G310,$C311="&gt;",G310+D311,$C311="&lt;",G310-D311,OR($C311="Λ",$C311="V"),G310), K64)</f>
        <v>3.5</v>
      </c>
      <c r="H311" s="195" cm="1">
        <f t="array" ref="H311">IF(L64="",_xlfn.IFS($C311="Angle",(D311*J311)+H310,$C311="Loop",$H$289,$C311="",H310,$C311="End",H310,$C311="Λ",H310+D311,$C311="V",H310-D311,OR($C311="&lt;",$C311="&gt;"),H310),L64)</f>
        <v>-5</v>
      </c>
      <c r="I311" s="197">
        <f t="shared" si="23"/>
        <v>1</v>
      </c>
      <c r="J311" s="197">
        <f t="shared" si="24"/>
        <v>0</v>
      </c>
      <c r="K311" s="176" t="str">
        <f t="shared" si="25"/>
        <v/>
      </c>
      <c r="L311" s="176" t="str">
        <f t="shared" si="26"/>
        <v/>
      </c>
      <c r="M311" s="176">
        <f t="shared" si="31"/>
        <v>0</v>
      </c>
      <c r="N311" s="236">
        <f t="shared" si="32"/>
        <v>0</v>
      </c>
      <c r="O311" s="41" t="str">
        <f t="shared" si="27"/>
        <v>TOWER</v>
      </c>
      <c r="P311" s="41"/>
      <c r="Q311" s="41" t="str">
        <f t="shared" si="28"/>
        <v>TOWER600.txt</v>
      </c>
      <c r="R311" s="41"/>
      <c r="S311" s="41"/>
      <c r="T311" s="41"/>
      <c r="U311" s="41"/>
      <c r="V311" s="41"/>
      <c r="W311" s="41"/>
      <c r="X311" s="41"/>
      <c r="Y311" s="41"/>
      <c r="Z311" s="41"/>
      <c r="AA311" s="41"/>
      <c r="AB311" s="41"/>
      <c r="AC311" s="41"/>
      <c r="AD311" s="41"/>
      <c r="AE311" s="41"/>
      <c r="AF311" s="41"/>
      <c r="AG311" s="41"/>
      <c r="AH311" s="41"/>
      <c r="AI311" s="41"/>
      <c r="AJ311" s="41"/>
      <c r="AK311" s="41"/>
      <c r="AL311" s="41"/>
      <c r="AM311" s="41"/>
      <c r="AN311" s="41"/>
      <c r="AO311" s="41"/>
      <c r="AP311" s="41"/>
      <c r="AQ311" s="41"/>
      <c r="AR311" s="41"/>
      <c r="AS311" s="41"/>
      <c r="BB311" s="235">
        <f t="shared" si="29"/>
        <v>0</v>
      </c>
      <c r="BC311" s="235">
        <f t="shared" si="33"/>
        <v>0</v>
      </c>
      <c r="BD311" s="235">
        <f t="shared" si="34"/>
        <v>0</v>
      </c>
      <c r="BE311" s="235">
        <f t="shared" si="35"/>
        <v>0</v>
      </c>
      <c r="BG311" s="199">
        <f t="shared" si="36"/>
        <v>0</v>
      </c>
      <c r="BH311" s="199">
        <f t="shared" si="37"/>
        <v>0</v>
      </c>
      <c r="BI311" s="199">
        <f t="shared" si="38"/>
        <v>0</v>
      </c>
      <c r="BJ311" s="199">
        <f t="shared" si="39"/>
        <v>0</v>
      </c>
    </row>
    <row r="312" spans="1:69" ht="15">
      <c r="A312" s="221"/>
      <c r="B312" s="237" t="str">
        <f t="shared" si="20"/>
        <v/>
      </c>
      <c r="C312" s="238" t="str">
        <f t="shared" si="21"/>
        <v/>
      </c>
      <c r="D312" s="239">
        <f t="shared" si="22"/>
        <v>0</v>
      </c>
      <c r="E312" s="240">
        <f t="shared" si="40"/>
        <v>0</v>
      </c>
      <c r="F312" s="241">
        <f t="shared" si="19"/>
        <v>0</v>
      </c>
      <c r="G312" s="239" cm="1">
        <f t="array" ref="G312">IF(K65="", _xlfn.IFS($C312="Angle",(D312*I312)+G311,$C312="Loop",$G$289,$C312="",G311,$C312="End",G311,$C312="&gt;",G311+D312,$C312="&lt;",G311-D312,OR($C312="Λ",$C312="V"),G311), K65)</f>
        <v>3.5</v>
      </c>
      <c r="H312" s="239" cm="1">
        <f t="array" ref="H312">IF(L65="",_xlfn.IFS($C312="Angle",(D312*J312)+H311,$C312="Loop",$H$289,$C312="",H311,$C312="End",H311,$C312="Λ",H311+D312,$C312="V",H311-D312,OR($C312="&lt;",$C312="&gt;"),H311),L65)</f>
        <v>-5</v>
      </c>
      <c r="I312" s="242">
        <f t="shared" si="23"/>
        <v>1</v>
      </c>
      <c r="J312" s="242">
        <f t="shared" si="24"/>
        <v>0</v>
      </c>
      <c r="K312" s="228" t="str">
        <f t="shared" si="25"/>
        <v/>
      </c>
      <c r="L312" s="228" t="str">
        <f t="shared" si="26"/>
        <v/>
      </c>
      <c r="M312" s="176">
        <f t="shared" si="31"/>
        <v>0</v>
      </c>
      <c r="N312" s="198">
        <f t="shared" si="32"/>
        <v>0</v>
      </c>
      <c r="O312" s="40" t="str">
        <f t="shared" si="27"/>
        <v>TOWER</v>
      </c>
      <c r="Q312" s="40" t="str">
        <f t="shared" si="28"/>
        <v>TOWER600.txt</v>
      </c>
      <c r="BB312" s="235">
        <f t="shared" si="29"/>
        <v>0</v>
      </c>
      <c r="BC312" s="235">
        <f t="shared" si="33"/>
        <v>0</v>
      </c>
      <c r="BD312" s="235">
        <f t="shared" si="34"/>
        <v>0</v>
      </c>
      <c r="BE312" s="235">
        <f t="shared" si="35"/>
        <v>0</v>
      </c>
      <c r="BG312" s="21">
        <f t="shared" si="36"/>
        <v>0</v>
      </c>
      <c r="BH312" s="21">
        <f t="shared" si="37"/>
        <v>0</v>
      </c>
      <c r="BI312" s="21">
        <f t="shared" si="38"/>
        <v>0</v>
      </c>
      <c r="BJ312" s="21">
        <f t="shared" si="39"/>
        <v>0</v>
      </c>
      <c r="BQ312" s="221"/>
    </row>
    <row r="313" spans="1:69" ht="15">
      <c r="A313" s="221"/>
      <c r="B313" s="237" t="str">
        <f t="shared" si="20"/>
        <v/>
      </c>
      <c r="C313" s="238" t="str">
        <f t="shared" si="21"/>
        <v/>
      </c>
      <c r="D313" s="239">
        <f t="shared" si="22"/>
        <v>0</v>
      </c>
      <c r="E313" s="240">
        <f t="shared" si="40"/>
        <v>0</v>
      </c>
      <c r="F313" s="241">
        <f t="shared" si="19"/>
        <v>0</v>
      </c>
      <c r="G313" s="239" cm="1">
        <f t="array" ref="G313">IF(K66="", _xlfn.IFS($C313="Angle",(D313*I313)+G312,$C313="Loop",$G$289,$C313="",G312,$C313="End",G312,$C313="&gt;",G312+D313,$C313="&lt;",G312-D313,OR($C313="Λ",$C313="V"),G312), K66)</f>
        <v>3.5</v>
      </c>
      <c r="H313" s="239" cm="1">
        <f t="array" ref="H313">IF(L66="",_xlfn.IFS($C313="Angle",(D313*J313)+H312,$C313="Loop",$H$289,$C313="",H312,$C313="End",H312,$C313="Λ",H312+D313,$C313="V",H312-D313,OR($C313="&lt;",$C313="&gt;"),H312),L66)</f>
        <v>-5</v>
      </c>
      <c r="I313" s="242">
        <f t="shared" si="23"/>
        <v>1</v>
      </c>
      <c r="J313" s="242">
        <f t="shared" si="24"/>
        <v>0</v>
      </c>
      <c r="K313" s="228" t="str">
        <f t="shared" si="25"/>
        <v/>
      </c>
      <c r="L313" s="228" t="str">
        <f t="shared" si="26"/>
        <v/>
      </c>
      <c r="M313" s="176">
        <f t="shared" si="31"/>
        <v>0</v>
      </c>
      <c r="N313" s="198">
        <f t="shared" si="32"/>
        <v>0</v>
      </c>
      <c r="O313" s="40" t="str">
        <f t="shared" si="27"/>
        <v>TOWER</v>
      </c>
      <c r="Q313" s="40" t="str">
        <f t="shared" si="28"/>
        <v>TOWER600.txt</v>
      </c>
      <c r="BB313" s="235">
        <f t="shared" si="29"/>
        <v>0</v>
      </c>
      <c r="BC313" s="235">
        <f t="shared" si="33"/>
        <v>0</v>
      </c>
      <c r="BD313" s="235">
        <f t="shared" si="34"/>
        <v>0</v>
      </c>
      <c r="BE313" s="235">
        <f t="shared" si="35"/>
        <v>0</v>
      </c>
      <c r="BG313" s="21">
        <f t="shared" si="36"/>
        <v>0</v>
      </c>
      <c r="BH313" s="21">
        <f t="shared" si="37"/>
        <v>0</v>
      </c>
      <c r="BI313" s="21">
        <f t="shared" si="38"/>
        <v>0</v>
      </c>
      <c r="BJ313" s="21">
        <f t="shared" si="39"/>
        <v>0</v>
      </c>
      <c r="BQ313" s="221"/>
    </row>
    <row r="314" spans="1:69" ht="15">
      <c r="A314" s="221"/>
      <c r="B314" s="237" t="str">
        <f t="shared" si="20"/>
        <v/>
      </c>
      <c r="C314" s="238" t="str">
        <f t="shared" si="21"/>
        <v/>
      </c>
      <c r="D314" s="239">
        <f t="shared" si="22"/>
        <v>0</v>
      </c>
      <c r="E314" s="240">
        <f t="shared" si="40"/>
        <v>0</v>
      </c>
      <c r="F314" s="241">
        <f t="shared" si="19"/>
        <v>0</v>
      </c>
      <c r="G314" s="239" cm="1">
        <f t="array" ref="G314">IF(K67="", _xlfn.IFS($C314="Angle",(D314*I314)+G313,$C314="Loop",$G$289,$C314="",G313,$C314="End",G313,$C314="&gt;",G313+D314,$C314="&lt;",G313-D314,OR($C314="Λ",$C314="V"),G313), K67)</f>
        <v>3.5</v>
      </c>
      <c r="H314" s="239" cm="1">
        <f t="array" ref="H314">IF(L67="",_xlfn.IFS($C314="Angle",(D314*J314)+H313,$C314="Loop",$H$289,$C314="",H313,$C314="End",H313,$C314="Λ",H313+D314,$C314="V",H313-D314,OR($C314="&lt;",$C314="&gt;"),H313),L67)</f>
        <v>-5</v>
      </c>
      <c r="I314" s="242">
        <f t="shared" si="23"/>
        <v>1</v>
      </c>
      <c r="J314" s="242">
        <f t="shared" si="24"/>
        <v>0</v>
      </c>
      <c r="K314" s="228" t="str">
        <f t="shared" si="25"/>
        <v/>
      </c>
      <c r="L314" s="228" t="str">
        <f t="shared" si="26"/>
        <v/>
      </c>
      <c r="M314" s="176">
        <f t="shared" si="31"/>
        <v>0</v>
      </c>
      <c r="N314" s="198">
        <f t="shared" si="32"/>
        <v>0</v>
      </c>
      <c r="O314" s="40" t="str">
        <f t="shared" si="27"/>
        <v>TOWER</v>
      </c>
      <c r="Q314" s="40" t="str">
        <f t="shared" si="28"/>
        <v>TOWER600.txt</v>
      </c>
      <c r="BB314" s="235">
        <f t="shared" si="29"/>
        <v>0</v>
      </c>
      <c r="BC314" s="235">
        <f t="shared" si="33"/>
        <v>0</v>
      </c>
      <c r="BD314" s="235">
        <f t="shared" si="34"/>
        <v>0</v>
      </c>
      <c r="BE314" s="235">
        <f t="shared" si="35"/>
        <v>0</v>
      </c>
      <c r="BG314" s="21">
        <f t="shared" si="36"/>
        <v>0</v>
      </c>
      <c r="BH314" s="21">
        <f t="shared" si="37"/>
        <v>0</v>
      </c>
      <c r="BI314" s="21">
        <f t="shared" si="38"/>
        <v>0</v>
      </c>
      <c r="BJ314" s="21">
        <f t="shared" si="39"/>
        <v>0</v>
      </c>
      <c r="BQ314" s="221"/>
    </row>
    <row r="315" spans="1:69" ht="15">
      <c r="A315" s="221"/>
      <c r="B315" s="237" t="str">
        <f t="shared" si="20"/>
        <v/>
      </c>
      <c r="C315" s="238" t="str">
        <f t="shared" si="21"/>
        <v/>
      </c>
      <c r="D315" s="239">
        <f t="shared" si="22"/>
        <v>0</v>
      </c>
      <c r="E315" s="240">
        <f t="shared" si="40"/>
        <v>0</v>
      </c>
      <c r="F315" s="241">
        <f t="shared" si="19"/>
        <v>0</v>
      </c>
      <c r="G315" s="239" cm="1">
        <f t="array" ref="G315">IF(K68="", _xlfn.IFS($C315="Angle",(D315*I315)+G314,$C315="Loop",$G$289,$C315="",G314,$C315="End",G314,$C315="&gt;",G314+D315,$C315="&lt;",G314-D315,OR($C315="Λ",$C315="V"),G314), K68)</f>
        <v>3.5</v>
      </c>
      <c r="H315" s="239" cm="1">
        <f t="array" ref="H315">IF(L68="",_xlfn.IFS($C315="Angle",(D315*J315)+H314,$C315="Loop",$H$289,$C315="",H314,$C315="End",H314,$C315="Λ",H314+D315,$C315="V",H314-D315,OR($C315="&lt;",$C315="&gt;"),H314),L68)</f>
        <v>-5</v>
      </c>
      <c r="I315" s="242">
        <f t="shared" si="23"/>
        <v>1</v>
      </c>
      <c r="J315" s="242">
        <f t="shared" si="24"/>
        <v>0</v>
      </c>
      <c r="K315" s="228" t="str">
        <f t="shared" si="25"/>
        <v/>
      </c>
      <c r="L315" s="228" t="str">
        <f t="shared" si="26"/>
        <v/>
      </c>
      <c r="M315" s="176">
        <f t="shared" si="31"/>
        <v>0</v>
      </c>
      <c r="N315" s="198">
        <f t="shared" si="32"/>
        <v>0</v>
      </c>
      <c r="O315" s="40" t="str">
        <f t="shared" si="27"/>
        <v>TOWER</v>
      </c>
      <c r="Q315" s="40" t="str">
        <f t="shared" si="28"/>
        <v>TOWER600.txt</v>
      </c>
      <c r="BB315" s="235">
        <f t="shared" si="29"/>
        <v>0</v>
      </c>
      <c r="BC315" s="235">
        <f t="shared" si="33"/>
        <v>0</v>
      </c>
      <c r="BD315" s="235">
        <f t="shared" si="34"/>
        <v>0</v>
      </c>
      <c r="BE315" s="235">
        <f t="shared" si="35"/>
        <v>0</v>
      </c>
      <c r="BG315" s="21">
        <f t="shared" si="36"/>
        <v>0</v>
      </c>
      <c r="BH315" s="21">
        <f t="shared" si="37"/>
        <v>0</v>
      </c>
      <c r="BI315" s="21">
        <f t="shared" si="38"/>
        <v>0</v>
      </c>
      <c r="BJ315" s="21">
        <f t="shared" si="39"/>
        <v>0</v>
      </c>
      <c r="BQ315" s="221"/>
    </row>
    <row r="316" spans="1:69" ht="15">
      <c r="A316" s="221"/>
      <c r="B316" s="237" t="str">
        <f t="shared" si="20"/>
        <v/>
      </c>
      <c r="C316" s="238" t="str">
        <f t="shared" si="21"/>
        <v/>
      </c>
      <c r="D316" s="239">
        <f t="shared" si="22"/>
        <v>0</v>
      </c>
      <c r="E316" s="240">
        <f t="shared" si="40"/>
        <v>0</v>
      </c>
      <c r="F316" s="241">
        <f t="shared" si="19"/>
        <v>0</v>
      </c>
      <c r="G316" s="239" cm="1">
        <f t="array" ref="G316">IF(K69="", _xlfn.IFS($C316="Angle",(D316*I316)+G315,$C316="Loop",$G$289,$C316="",G315,$C316="End",G315,$C316="&gt;",G315+D316,$C316="&lt;",G315-D316,OR($C316="Λ",$C316="V"),G315), K69)</f>
        <v>3.5</v>
      </c>
      <c r="H316" s="239" cm="1">
        <f t="array" ref="H316">IF(L69="",_xlfn.IFS($C316="Angle",(D316*J316)+H315,$C316="Loop",$H$289,$C316="",H315,$C316="End",H315,$C316="Λ",H315+D316,$C316="V",H315-D316,OR($C316="&lt;",$C316="&gt;"),H315),L69)</f>
        <v>-5</v>
      </c>
      <c r="I316" s="242">
        <f t="shared" si="23"/>
        <v>1</v>
      </c>
      <c r="J316" s="242">
        <f t="shared" si="24"/>
        <v>0</v>
      </c>
      <c r="K316" s="228" t="str">
        <f t="shared" si="25"/>
        <v/>
      </c>
      <c r="L316" s="228" t="str">
        <f t="shared" si="26"/>
        <v/>
      </c>
      <c r="M316" s="176">
        <f t="shared" si="31"/>
        <v>0</v>
      </c>
      <c r="N316" s="198">
        <f t="shared" si="32"/>
        <v>0</v>
      </c>
      <c r="O316" s="40" t="str">
        <f t="shared" si="27"/>
        <v>TOWER</v>
      </c>
      <c r="Q316" s="40" t="str">
        <f t="shared" si="28"/>
        <v>TOWER600.txt</v>
      </c>
      <c r="BB316" s="235">
        <f t="shared" si="29"/>
        <v>0</v>
      </c>
      <c r="BC316" s="235">
        <f t="shared" si="33"/>
        <v>0</v>
      </c>
      <c r="BD316" s="235">
        <f t="shared" si="34"/>
        <v>0</v>
      </c>
      <c r="BE316" s="235">
        <f t="shared" si="35"/>
        <v>0</v>
      </c>
      <c r="BG316" s="21">
        <f t="shared" si="36"/>
        <v>0</v>
      </c>
      <c r="BH316" s="21">
        <f t="shared" si="37"/>
        <v>0</v>
      </c>
      <c r="BI316" s="21">
        <f t="shared" si="38"/>
        <v>0</v>
      </c>
      <c r="BJ316" s="21">
        <f t="shared" si="39"/>
        <v>0</v>
      </c>
      <c r="BQ316" s="221"/>
    </row>
    <row r="317" spans="1:69" ht="15">
      <c r="A317" s="221"/>
      <c r="B317" s="237" t="str">
        <f t="shared" si="20"/>
        <v/>
      </c>
      <c r="C317" s="238" t="str">
        <f t="shared" si="21"/>
        <v/>
      </c>
      <c r="D317" s="239">
        <f t="shared" si="22"/>
        <v>0</v>
      </c>
      <c r="E317" s="240">
        <f t="shared" si="40"/>
        <v>0</v>
      </c>
      <c r="F317" s="241">
        <f t="shared" si="19"/>
        <v>0</v>
      </c>
      <c r="G317" s="239" cm="1">
        <f t="array" ref="G317">IF(K70="", _xlfn.IFS($C317="Angle",(D317*I317)+G316,$C317="Loop",$G$289,$C317="",G316,$C317="End",G316,$C317="&gt;",G316+D317,$C317="&lt;",G316-D317,OR($C317="Λ",$C317="V"),G316), K70)</f>
        <v>3.5</v>
      </c>
      <c r="H317" s="239" cm="1">
        <f t="array" ref="H317">IF(L70="",_xlfn.IFS($C317="Angle",(D317*J317)+H316,$C317="Loop",$H$289,$C317="",H316,$C317="End",H316,$C317="Λ",H316+D317,$C317="V",H316-D317,OR($C317="&lt;",$C317="&gt;"),H316),L70)</f>
        <v>-5</v>
      </c>
      <c r="I317" s="242">
        <f t="shared" si="23"/>
        <v>1</v>
      </c>
      <c r="J317" s="242">
        <f t="shared" si="24"/>
        <v>0</v>
      </c>
      <c r="K317" s="228" t="str">
        <f t="shared" si="25"/>
        <v/>
      </c>
      <c r="L317" s="228" t="str">
        <f t="shared" si="26"/>
        <v/>
      </c>
      <c r="M317" s="176">
        <f t="shared" si="31"/>
        <v>0</v>
      </c>
      <c r="N317" s="198">
        <f t="shared" si="32"/>
        <v>0</v>
      </c>
      <c r="O317" s="40" t="str">
        <f t="shared" si="27"/>
        <v>TOWER</v>
      </c>
      <c r="Q317" s="40" t="str">
        <f t="shared" si="28"/>
        <v>TOWER600.txt</v>
      </c>
      <c r="BB317" s="235">
        <f t="shared" si="29"/>
        <v>0</v>
      </c>
      <c r="BC317" s="235">
        <f t="shared" si="33"/>
        <v>0</v>
      </c>
      <c r="BD317" s="235">
        <f t="shared" si="34"/>
        <v>0</v>
      </c>
      <c r="BE317" s="235">
        <f t="shared" si="35"/>
        <v>0</v>
      </c>
      <c r="BG317" s="21">
        <f t="shared" si="36"/>
        <v>0</v>
      </c>
      <c r="BH317" s="21">
        <f t="shared" si="37"/>
        <v>0</v>
      </c>
      <c r="BI317" s="21">
        <f t="shared" si="38"/>
        <v>0</v>
      </c>
      <c r="BJ317" s="21">
        <f t="shared" si="39"/>
        <v>0</v>
      </c>
      <c r="BQ317" s="221"/>
    </row>
    <row r="318" spans="1:69" ht="15">
      <c r="A318" s="221"/>
      <c r="B318" s="237" t="str">
        <f t="shared" si="20"/>
        <v/>
      </c>
      <c r="C318" s="238" t="str">
        <f t="shared" si="21"/>
        <v/>
      </c>
      <c r="D318" s="239">
        <f t="shared" si="22"/>
        <v>0</v>
      </c>
      <c r="E318" s="240">
        <f t="shared" si="40"/>
        <v>0</v>
      </c>
      <c r="F318" s="241">
        <f t="shared" si="19"/>
        <v>0</v>
      </c>
      <c r="G318" s="239" cm="1">
        <f t="array" ref="G318">IF(K71="", _xlfn.IFS($C318="Angle",(D318*I318)+G317,$C318="Loop",$G$289,$C318="",G317,$C318="End",G317,$C318="&gt;",G317+D318,$C318="&lt;",G317-D318,OR($C318="Λ",$C318="V"),G317), K71)</f>
        <v>3.5</v>
      </c>
      <c r="H318" s="239" cm="1">
        <f t="array" ref="H318">IF(L71="",_xlfn.IFS($C318="Angle",(D318*J318)+H317,$C318="Loop",$H$289,$C318="",H317,$C318="End",H317,$C318="Λ",H317+D318,$C318="V",H317-D318,OR($C318="&lt;",$C318="&gt;"),H317),L71)</f>
        <v>-5</v>
      </c>
      <c r="I318" s="242">
        <f t="shared" si="23"/>
        <v>1</v>
      </c>
      <c r="J318" s="242">
        <f t="shared" si="24"/>
        <v>0</v>
      </c>
      <c r="K318" s="228" t="str">
        <f t="shared" si="25"/>
        <v/>
      </c>
      <c r="L318" s="228" t="str">
        <f t="shared" si="26"/>
        <v/>
      </c>
      <c r="M318" s="176">
        <f t="shared" si="31"/>
        <v>0</v>
      </c>
      <c r="N318" s="198">
        <f t="shared" si="32"/>
        <v>0</v>
      </c>
      <c r="O318" s="40" t="str">
        <f t="shared" si="27"/>
        <v>TOWER</v>
      </c>
      <c r="Q318" s="40" t="str">
        <f t="shared" si="28"/>
        <v>TOWER600.txt</v>
      </c>
      <c r="BB318" s="235">
        <f t="shared" si="29"/>
        <v>0</v>
      </c>
      <c r="BC318" s="235">
        <f t="shared" si="33"/>
        <v>0</v>
      </c>
      <c r="BD318" s="235">
        <f t="shared" si="34"/>
        <v>0</v>
      </c>
      <c r="BE318" s="235">
        <f t="shared" si="35"/>
        <v>0</v>
      </c>
      <c r="BG318" s="21">
        <f t="shared" si="36"/>
        <v>0</v>
      </c>
      <c r="BH318" s="21">
        <f t="shared" si="37"/>
        <v>0</v>
      </c>
      <c r="BI318" s="21">
        <f t="shared" si="38"/>
        <v>0</v>
      </c>
      <c r="BJ318" s="21">
        <f t="shared" si="39"/>
        <v>0</v>
      </c>
      <c r="BQ318" s="221"/>
    </row>
    <row r="319" spans="1:69" ht="15">
      <c r="A319" s="221"/>
      <c r="B319" s="237" t="str">
        <f t="shared" si="20"/>
        <v/>
      </c>
      <c r="C319" s="238" t="str">
        <f t="shared" si="21"/>
        <v/>
      </c>
      <c r="D319" s="239">
        <f t="shared" si="22"/>
        <v>0</v>
      </c>
      <c r="E319" s="240">
        <f t="shared" si="40"/>
        <v>0</v>
      </c>
      <c r="F319" s="241">
        <f t="shared" si="19"/>
        <v>0</v>
      </c>
      <c r="G319" s="239" cm="1">
        <f t="array" ref="G319">IF(K72="", _xlfn.IFS($C319="Angle",(D319*I319)+G318,$C319="Loop",$G$289,$C319="",G318,$C319="End",G318,$C319="&gt;",G318+D319,$C319="&lt;",G318-D319,OR($C319="Λ",$C319="V"),G318), K72)</f>
        <v>3.5</v>
      </c>
      <c r="H319" s="239" cm="1">
        <f t="array" ref="H319">IF(L72="",_xlfn.IFS($C319="Angle",(D319*J319)+H318,$C319="Loop",$H$289,$C319="",H318,$C319="End",H318,$C319="Λ",H318+D319,$C319="V",H318-D319,OR($C319="&lt;",$C319="&gt;"),H318),L72)</f>
        <v>-5</v>
      </c>
      <c r="I319" s="242">
        <f t="shared" si="23"/>
        <v>1</v>
      </c>
      <c r="J319" s="242">
        <f t="shared" si="24"/>
        <v>0</v>
      </c>
      <c r="K319" s="228" t="str">
        <f t="shared" si="25"/>
        <v/>
      </c>
      <c r="L319" s="228" t="str">
        <f t="shared" si="26"/>
        <v/>
      </c>
      <c r="M319" s="176">
        <f t="shared" si="31"/>
        <v>0</v>
      </c>
      <c r="N319" s="198">
        <f t="shared" si="32"/>
        <v>0</v>
      </c>
      <c r="O319" s="40" t="str">
        <f t="shared" si="27"/>
        <v>TOWER</v>
      </c>
      <c r="Q319" s="40" t="str">
        <f t="shared" si="28"/>
        <v>TOWER600.txt</v>
      </c>
      <c r="BB319" s="235">
        <f t="shared" si="29"/>
        <v>0</v>
      </c>
      <c r="BC319" s="235">
        <f t="shared" si="33"/>
        <v>0</v>
      </c>
      <c r="BD319" s="235">
        <f t="shared" si="34"/>
        <v>0</v>
      </c>
      <c r="BE319" s="235">
        <f t="shared" si="35"/>
        <v>0</v>
      </c>
      <c r="BG319" s="21">
        <f t="shared" si="36"/>
        <v>0</v>
      </c>
      <c r="BH319" s="21">
        <f t="shared" si="37"/>
        <v>0</v>
      </c>
      <c r="BI319" s="21">
        <f t="shared" si="38"/>
        <v>0</v>
      </c>
      <c r="BJ319" s="21">
        <f t="shared" si="39"/>
        <v>0</v>
      </c>
      <c r="BQ319" s="221"/>
    </row>
    <row r="320" spans="1:69" ht="15">
      <c r="A320" s="221"/>
      <c r="B320" s="237" t="str">
        <f t="shared" si="20"/>
        <v/>
      </c>
      <c r="C320" s="238" t="str">
        <f t="shared" si="21"/>
        <v/>
      </c>
      <c r="D320" s="239">
        <f t="shared" si="22"/>
        <v>0</v>
      </c>
      <c r="E320" s="240">
        <f t="shared" si="40"/>
        <v>0</v>
      </c>
      <c r="F320" s="241">
        <f t="shared" si="19"/>
        <v>0</v>
      </c>
      <c r="G320" s="239" cm="1">
        <f t="array" ref="G320">IF(K73="", _xlfn.IFS($C320="Angle",(D320*I320)+G319,$C320="Loop",$G$289,$C320="",G319,$C320="End",G319,$C320="&gt;",G319+D320,$C320="&lt;",G319-D320,OR($C320="Λ",$C320="V"),G319), K73)</f>
        <v>3.5</v>
      </c>
      <c r="H320" s="239" cm="1">
        <f t="array" ref="H320">IF(L73="",_xlfn.IFS($C320="Angle",(D320*J320)+H319,$C320="Loop",$H$289,$C320="",H319,$C320="End",H319,$C320="Λ",H319+D320,$C320="V",H319-D320,OR($C320="&lt;",$C320="&gt;"),H319),L73)</f>
        <v>-5</v>
      </c>
      <c r="I320" s="242">
        <f t="shared" si="23"/>
        <v>1</v>
      </c>
      <c r="J320" s="242">
        <f t="shared" si="24"/>
        <v>0</v>
      </c>
      <c r="K320" s="228" t="str">
        <f t="shared" si="25"/>
        <v/>
      </c>
      <c r="L320" s="228" t="str">
        <f t="shared" si="26"/>
        <v/>
      </c>
      <c r="M320" s="176">
        <f t="shared" si="31"/>
        <v>0</v>
      </c>
      <c r="N320" s="198">
        <f t="shared" si="32"/>
        <v>0</v>
      </c>
      <c r="O320" s="40" t="str">
        <f t="shared" si="27"/>
        <v>TOWER</v>
      </c>
      <c r="Q320" s="40" t="str">
        <f t="shared" si="28"/>
        <v>TOWER600.txt</v>
      </c>
      <c r="BB320" s="235">
        <f t="shared" si="29"/>
        <v>0</v>
      </c>
      <c r="BC320" s="235">
        <f t="shared" si="33"/>
        <v>0</v>
      </c>
      <c r="BD320" s="235">
        <f t="shared" si="34"/>
        <v>0</v>
      </c>
      <c r="BE320" s="235">
        <f t="shared" si="35"/>
        <v>0</v>
      </c>
      <c r="BG320" s="21">
        <f t="shared" si="36"/>
        <v>0</v>
      </c>
      <c r="BH320" s="21">
        <f t="shared" si="37"/>
        <v>0</v>
      </c>
      <c r="BI320" s="21">
        <f t="shared" si="38"/>
        <v>0</v>
      </c>
      <c r="BJ320" s="21">
        <f t="shared" si="39"/>
        <v>0</v>
      </c>
      <c r="BQ320" s="221"/>
    </row>
    <row r="321" spans="1:69" ht="15">
      <c r="A321" s="221"/>
      <c r="B321" s="237" t="str">
        <f t="shared" si="20"/>
        <v/>
      </c>
      <c r="C321" s="238" t="str">
        <f t="shared" si="21"/>
        <v/>
      </c>
      <c r="D321" s="239">
        <f t="shared" si="22"/>
        <v>0</v>
      </c>
      <c r="E321" s="240">
        <f t="shared" si="40"/>
        <v>0</v>
      </c>
      <c r="F321" s="241">
        <f t="shared" si="19"/>
        <v>0</v>
      </c>
      <c r="G321" s="239" cm="1">
        <f t="array" ref="G321">IF(K74="", _xlfn.IFS($C321="Angle",(D321*I321)+G320,$C321="Loop",$G$289,$C321="",G320,$C321="End",G320,$C321="&gt;",G320+D321,$C321="&lt;",G320-D321,OR($C321="Λ",$C321="V"),G320), K74)</f>
        <v>3.5</v>
      </c>
      <c r="H321" s="239" cm="1">
        <f t="array" ref="H321">IF(L74="",_xlfn.IFS($C321="Angle",(D321*J321)+H320,$C321="Loop",$H$289,$C321="",H320,$C321="End",H320,$C321="Λ",H320+D321,$C321="V",H320-D321,OR($C321="&lt;",$C321="&gt;"),H320),L74)</f>
        <v>-5</v>
      </c>
      <c r="I321" s="242">
        <f t="shared" si="23"/>
        <v>1</v>
      </c>
      <c r="J321" s="242">
        <f t="shared" si="24"/>
        <v>0</v>
      </c>
      <c r="K321" s="228" t="str">
        <f t="shared" si="25"/>
        <v/>
      </c>
      <c r="L321" s="228" t="str">
        <f t="shared" si="26"/>
        <v/>
      </c>
      <c r="M321" s="176">
        <f t="shared" si="31"/>
        <v>0</v>
      </c>
      <c r="N321" s="198">
        <f t="shared" si="32"/>
        <v>0</v>
      </c>
      <c r="O321" s="40" t="str">
        <f t="shared" si="27"/>
        <v>TOWER</v>
      </c>
      <c r="Q321" s="40" t="str">
        <f t="shared" si="28"/>
        <v>TOWER600.txt</v>
      </c>
      <c r="BB321" s="235">
        <f t="shared" si="29"/>
        <v>0</v>
      </c>
      <c r="BC321" s="235">
        <f t="shared" si="33"/>
        <v>0</v>
      </c>
      <c r="BD321" s="235">
        <f t="shared" si="34"/>
        <v>0</v>
      </c>
      <c r="BE321" s="235">
        <f t="shared" si="35"/>
        <v>0</v>
      </c>
      <c r="BG321" s="21">
        <f t="shared" si="36"/>
        <v>0</v>
      </c>
      <c r="BH321" s="21">
        <f t="shared" si="37"/>
        <v>0</v>
      </c>
      <c r="BI321" s="21">
        <f t="shared" si="38"/>
        <v>0</v>
      </c>
      <c r="BJ321" s="21">
        <f t="shared" si="39"/>
        <v>0</v>
      </c>
      <c r="BQ321" s="221"/>
    </row>
    <row r="322" spans="1:69" ht="15">
      <c r="A322" s="221"/>
      <c r="B322" s="237" t="str">
        <f t="shared" si="20"/>
        <v/>
      </c>
      <c r="C322" s="238" t="str">
        <f t="shared" si="21"/>
        <v/>
      </c>
      <c r="D322" s="239">
        <f t="shared" si="22"/>
        <v>0</v>
      </c>
      <c r="E322" s="240">
        <f t="shared" si="40"/>
        <v>0</v>
      </c>
      <c r="F322" s="241">
        <f t="shared" si="19"/>
        <v>0</v>
      </c>
      <c r="G322" s="239" cm="1">
        <f t="array" ref="G322">IF(K75="", _xlfn.IFS($C322="Angle",(D322*I322)+G321,$C322="Loop",$G$289,$C322="",G321,$C322="End",G321,$C322="&gt;",G321+D322,$C322="&lt;",G321-D322,OR($C322="Λ",$C322="V"),G321), K75)</f>
        <v>3.5</v>
      </c>
      <c r="H322" s="239" cm="1">
        <f t="array" ref="H322">IF(L75="",_xlfn.IFS($C322="Angle",(D322*J322)+H321,$C322="Loop",$H$289,$C322="",H321,$C322="End",H321,$C322="Λ",H321+D322,$C322="V",H321-D322,OR($C322="&lt;",$C322="&gt;"),H321),L75)</f>
        <v>-5</v>
      </c>
      <c r="I322" s="242">
        <f t="shared" si="23"/>
        <v>1</v>
      </c>
      <c r="J322" s="242">
        <f t="shared" si="24"/>
        <v>0</v>
      </c>
      <c r="K322" s="228" t="str">
        <f t="shared" si="25"/>
        <v/>
      </c>
      <c r="L322" s="228" t="str">
        <f t="shared" si="26"/>
        <v/>
      </c>
      <c r="M322" s="176">
        <f t="shared" si="31"/>
        <v>0</v>
      </c>
      <c r="N322" s="198">
        <f t="shared" si="32"/>
        <v>0</v>
      </c>
      <c r="O322" s="40" t="str">
        <f t="shared" si="27"/>
        <v>TOWER</v>
      </c>
      <c r="Q322" s="40" t="str">
        <f t="shared" si="28"/>
        <v>TOWER600.txt</v>
      </c>
      <c r="BB322" s="235">
        <f t="shared" si="29"/>
        <v>0</v>
      </c>
      <c r="BC322" s="235">
        <f t="shared" si="33"/>
        <v>0</v>
      </c>
      <c r="BD322" s="235">
        <f t="shared" si="34"/>
        <v>0</v>
      </c>
      <c r="BE322" s="235">
        <f t="shared" si="35"/>
        <v>0</v>
      </c>
      <c r="BG322" s="21">
        <f t="shared" si="36"/>
        <v>0</v>
      </c>
      <c r="BH322" s="21">
        <f t="shared" si="37"/>
        <v>0</v>
      </c>
      <c r="BI322" s="21">
        <f t="shared" si="38"/>
        <v>0</v>
      </c>
      <c r="BJ322" s="21">
        <f t="shared" si="39"/>
        <v>0</v>
      </c>
      <c r="BQ322" s="221"/>
    </row>
    <row r="323" spans="1:69" ht="15">
      <c r="A323" s="221"/>
      <c r="B323" s="237" t="str">
        <f t="shared" si="20"/>
        <v/>
      </c>
      <c r="C323" s="238" t="str">
        <f t="shared" si="21"/>
        <v/>
      </c>
      <c r="D323" s="239">
        <f t="shared" si="22"/>
        <v>0</v>
      </c>
      <c r="E323" s="240">
        <f t="shared" si="40"/>
        <v>0</v>
      </c>
      <c r="F323" s="241">
        <f t="shared" si="19"/>
        <v>0</v>
      </c>
      <c r="G323" s="239" cm="1">
        <f t="array" ref="G323">IF(K76="", _xlfn.IFS($C323="Angle",(D323*I323)+G322,$C323="Loop",$G$289,$C323="",G322,$C323="End",G322,$C323="&gt;",G322+D323,$C323="&lt;",G322-D323,OR($C323="Λ",$C323="V"),G322), K76)</f>
        <v>3.5</v>
      </c>
      <c r="H323" s="239" cm="1">
        <f t="array" ref="H323">IF(L76="",_xlfn.IFS($C323="Angle",(D323*J323)+H322,$C323="Loop",$H$289,$C323="",H322,$C323="End",H322,$C323="Λ",H322+D323,$C323="V",H322-D323,OR($C323="&lt;",$C323="&gt;"),H322),L76)</f>
        <v>-5</v>
      </c>
      <c r="I323" s="242">
        <f t="shared" si="23"/>
        <v>1</v>
      </c>
      <c r="J323" s="242">
        <f t="shared" si="24"/>
        <v>0</v>
      </c>
      <c r="K323" s="228" t="str">
        <f t="shared" si="25"/>
        <v/>
      </c>
      <c r="L323" s="228" t="str">
        <f t="shared" si="26"/>
        <v/>
      </c>
      <c r="M323" s="176">
        <f t="shared" si="31"/>
        <v>0</v>
      </c>
      <c r="N323" s="198">
        <f t="shared" si="32"/>
        <v>0</v>
      </c>
      <c r="O323" s="40" t="str">
        <f t="shared" si="27"/>
        <v>TOWER</v>
      </c>
      <c r="Q323" s="40" t="str">
        <f t="shared" si="28"/>
        <v>TOWER600.txt</v>
      </c>
      <c r="BB323" s="235">
        <f t="shared" si="29"/>
        <v>0</v>
      </c>
      <c r="BC323" s="235">
        <f t="shared" si="33"/>
        <v>0</v>
      </c>
      <c r="BD323" s="235">
        <f t="shared" si="34"/>
        <v>0</v>
      </c>
      <c r="BE323" s="235">
        <f t="shared" si="35"/>
        <v>0</v>
      </c>
      <c r="BG323" s="21">
        <f t="shared" si="36"/>
        <v>0</v>
      </c>
      <c r="BH323" s="21">
        <f t="shared" si="37"/>
        <v>0</v>
      </c>
      <c r="BI323" s="21">
        <f t="shared" si="38"/>
        <v>0</v>
      </c>
      <c r="BJ323" s="21">
        <f t="shared" si="39"/>
        <v>0</v>
      </c>
      <c r="BQ323" s="221"/>
    </row>
    <row r="324" spans="1:69" ht="15">
      <c r="A324" s="221"/>
      <c r="B324" s="237" t="str">
        <f t="shared" si="20"/>
        <v/>
      </c>
      <c r="C324" s="238" t="str">
        <f t="shared" si="21"/>
        <v/>
      </c>
      <c r="D324" s="239">
        <f t="shared" si="22"/>
        <v>0</v>
      </c>
      <c r="E324" s="240">
        <f t="shared" si="40"/>
        <v>0</v>
      </c>
      <c r="F324" s="241">
        <f t="shared" si="19"/>
        <v>0</v>
      </c>
      <c r="G324" s="239" cm="1">
        <f t="array" ref="G324">IF(K77="", _xlfn.IFS($C324="Angle",(D324*I324)+G323,$C324="Loop",$G$289,$C324="",G323,$C324="End",G323,$C324="&gt;",G323+D324,$C324="&lt;",G323-D324,OR($C324="Λ",$C324="V"),G323), K77)</f>
        <v>3.5</v>
      </c>
      <c r="H324" s="239" cm="1">
        <f t="array" ref="H324">IF(L77="",_xlfn.IFS($C324="Angle",(D324*J324)+H323,$C324="Loop",$H$289,$C324="",H323,$C324="End",H323,$C324="Λ",H323+D324,$C324="V",H323-D324,OR($C324="&lt;",$C324="&gt;"),H323),L77)</f>
        <v>-5</v>
      </c>
      <c r="I324" s="242">
        <f t="shared" si="23"/>
        <v>1</v>
      </c>
      <c r="J324" s="242">
        <f t="shared" si="24"/>
        <v>0</v>
      </c>
      <c r="K324" s="228" t="str">
        <f t="shared" si="25"/>
        <v/>
      </c>
      <c r="L324" s="228" t="str">
        <f t="shared" si="26"/>
        <v/>
      </c>
      <c r="M324" s="176">
        <f t="shared" si="31"/>
        <v>0</v>
      </c>
      <c r="N324" s="198">
        <f t="shared" si="32"/>
        <v>0</v>
      </c>
      <c r="O324" s="40" t="str">
        <f t="shared" si="27"/>
        <v>TOWER</v>
      </c>
      <c r="Q324" s="40" t="str">
        <f t="shared" si="28"/>
        <v>TOWER600.txt</v>
      </c>
      <c r="BB324" s="235">
        <f t="shared" si="29"/>
        <v>0</v>
      </c>
      <c r="BC324" s="235">
        <f t="shared" si="33"/>
        <v>0</v>
      </c>
      <c r="BD324" s="235">
        <f t="shared" si="34"/>
        <v>0</v>
      </c>
      <c r="BE324" s="235">
        <f t="shared" si="35"/>
        <v>0</v>
      </c>
      <c r="BG324" s="21">
        <f t="shared" si="36"/>
        <v>0</v>
      </c>
      <c r="BH324" s="21">
        <f t="shared" si="37"/>
        <v>0</v>
      </c>
      <c r="BI324" s="21">
        <f t="shared" si="38"/>
        <v>0</v>
      </c>
      <c r="BJ324" s="21">
        <f t="shared" si="39"/>
        <v>0</v>
      </c>
      <c r="BQ324" s="221"/>
    </row>
    <row r="325" spans="1:69" ht="15">
      <c r="A325" s="221"/>
      <c r="B325" s="237" t="str">
        <f t="shared" si="20"/>
        <v/>
      </c>
      <c r="C325" s="238" t="str">
        <f t="shared" si="21"/>
        <v/>
      </c>
      <c r="D325" s="239">
        <f t="shared" si="22"/>
        <v>0</v>
      </c>
      <c r="E325" s="240">
        <f t="shared" si="40"/>
        <v>0</v>
      </c>
      <c r="F325" s="241">
        <f t="shared" si="19"/>
        <v>0</v>
      </c>
      <c r="G325" s="239" cm="1">
        <f t="array" ref="G325">IF(K78="", _xlfn.IFS($C325="Angle",(D325*I325)+G324,$C325="Loop",$G$289,$C325="",G324,$C325="End",G324,$C325="&gt;",G324+D325,$C325="&lt;",G324-D325,OR($C325="Λ",$C325="V"),G324), K78)</f>
        <v>3.5</v>
      </c>
      <c r="H325" s="239" cm="1">
        <f t="array" ref="H325">IF(L78="",_xlfn.IFS($C325="Angle",(D325*J325)+H324,$C325="Loop",$H$289,$C325="",H324,$C325="End",H324,$C325="Λ",H324+D325,$C325="V",H324-D325,OR($C325="&lt;",$C325="&gt;"),H324),L78)</f>
        <v>-5</v>
      </c>
      <c r="I325" s="242">
        <f t="shared" si="23"/>
        <v>1</v>
      </c>
      <c r="J325" s="242">
        <f t="shared" si="24"/>
        <v>0</v>
      </c>
      <c r="K325" s="228" t="str">
        <f t="shared" si="25"/>
        <v/>
      </c>
      <c r="L325" s="228" t="str">
        <f t="shared" si="26"/>
        <v/>
      </c>
      <c r="M325" s="176">
        <f t="shared" si="31"/>
        <v>0</v>
      </c>
      <c r="N325" s="198">
        <f t="shared" si="32"/>
        <v>0</v>
      </c>
      <c r="O325" s="40" t="str">
        <f t="shared" si="27"/>
        <v>TOWER</v>
      </c>
      <c r="Q325" s="40" t="str">
        <f t="shared" si="28"/>
        <v>TOWER600.txt</v>
      </c>
      <c r="BB325" s="235">
        <f t="shared" si="29"/>
        <v>0</v>
      </c>
      <c r="BC325" s="235">
        <f t="shared" si="33"/>
        <v>0</v>
      </c>
      <c r="BD325" s="235">
        <f t="shared" si="34"/>
        <v>0</v>
      </c>
      <c r="BE325" s="235">
        <f t="shared" si="35"/>
        <v>0</v>
      </c>
      <c r="BG325" s="21">
        <f t="shared" si="36"/>
        <v>0</v>
      </c>
      <c r="BH325" s="21">
        <f t="shared" si="37"/>
        <v>0</v>
      </c>
      <c r="BI325" s="21">
        <f t="shared" si="38"/>
        <v>0</v>
      </c>
      <c r="BJ325" s="21">
        <f t="shared" si="39"/>
        <v>0</v>
      </c>
      <c r="BQ325" s="221"/>
    </row>
    <row r="326" spans="1:69" ht="15">
      <c r="A326" s="221"/>
      <c r="B326" s="237" t="str">
        <f t="shared" si="20"/>
        <v/>
      </c>
      <c r="C326" s="238" t="str">
        <f t="shared" si="21"/>
        <v/>
      </c>
      <c r="D326" s="239">
        <f t="shared" si="22"/>
        <v>0</v>
      </c>
      <c r="E326" s="240">
        <f t="shared" si="40"/>
        <v>0</v>
      </c>
      <c r="F326" s="241">
        <f t="shared" si="19"/>
        <v>0</v>
      </c>
      <c r="G326" s="239" cm="1">
        <f t="array" ref="G326">IF(K79="", _xlfn.IFS($C326="Angle",(D326*I326)+G325,$C326="Loop",$G$289,$C326="",G325,$C326="End",G325,$C326="&gt;",G325+D326,$C326="&lt;",G325-D326,OR($C326="Λ",$C326="V"),G325), K79)</f>
        <v>3.5</v>
      </c>
      <c r="H326" s="239" cm="1">
        <f t="array" ref="H326">IF(L79="",_xlfn.IFS($C326="Angle",(D326*J326)+H325,$C326="Loop",$H$289,$C326="",H325,$C326="End",H325,$C326="Λ",H325+D326,$C326="V",H325-D326,OR($C326="&lt;",$C326="&gt;"),H325),L79)</f>
        <v>-5</v>
      </c>
      <c r="I326" s="242">
        <f t="shared" si="23"/>
        <v>1</v>
      </c>
      <c r="J326" s="242">
        <f t="shared" si="24"/>
        <v>0</v>
      </c>
      <c r="K326" s="228" t="str">
        <f t="shared" si="25"/>
        <v/>
      </c>
      <c r="L326" s="228" t="str">
        <f t="shared" si="26"/>
        <v/>
      </c>
      <c r="M326" s="176">
        <f t="shared" si="31"/>
        <v>0</v>
      </c>
      <c r="N326" s="198">
        <f t="shared" si="32"/>
        <v>0</v>
      </c>
      <c r="O326" s="40" t="str">
        <f t="shared" si="27"/>
        <v>TOWER</v>
      </c>
      <c r="Q326" s="40" t="str">
        <f t="shared" si="28"/>
        <v>TOWER600.txt</v>
      </c>
      <c r="BB326" s="235">
        <f t="shared" si="29"/>
        <v>0</v>
      </c>
      <c r="BC326" s="235">
        <f t="shared" si="33"/>
        <v>0</v>
      </c>
      <c r="BD326" s="235">
        <f t="shared" si="34"/>
        <v>0</v>
      </c>
      <c r="BE326" s="235">
        <f t="shared" si="35"/>
        <v>0</v>
      </c>
      <c r="BG326" s="21">
        <f t="shared" si="36"/>
        <v>0</v>
      </c>
      <c r="BH326" s="21">
        <f t="shared" si="37"/>
        <v>0</v>
      </c>
      <c r="BI326" s="21">
        <f t="shared" si="38"/>
        <v>0</v>
      </c>
      <c r="BJ326" s="21">
        <f t="shared" si="39"/>
        <v>0</v>
      </c>
      <c r="BQ326" s="221"/>
    </row>
    <row r="327" spans="1:69" ht="15">
      <c r="A327" s="221"/>
      <c r="B327" s="237" t="str">
        <f t="shared" si="20"/>
        <v/>
      </c>
      <c r="C327" s="238" t="str">
        <f t="shared" si="21"/>
        <v/>
      </c>
      <c r="D327" s="239">
        <f t="shared" si="22"/>
        <v>0</v>
      </c>
      <c r="E327" s="240">
        <f t="shared" si="40"/>
        <v>0</v>
      </c>
      <c r="F327" s="241">
        <f t="shared" si="19"/>
        <v>0</v>
      </c>
      <c r="G327" s="239" cm="1">
        <f t="array" ref="G327">IF(K80="", _xlfn.IFS($C327="Angle",(D327*I327)+G326,$C327="Loop",$G$289,$C327="",G326,$C327="End",G326,$C327="&gt;",G326+D327,$C327="&lt;",G326-D327,OR($C327="Λ",$C327="V"),G326), K80)</f>
        <v>3.5</v>
      </c>
      <c r="H327" s="239" cm="1">
        <f t="array" ref="H327">IF(L80="",_xlfn.IFS($C327="Angle",(D327*J327)+H326,$C327="Loop",$H$289,$C327="",H326,$C327="End",H326,$C327="Λ",H326+D327,$C327="V",H326-D327,OR($C327="&lt;",$C327="&gt;"),H326),L80)</f>
        <v>-5</v>
      </c>
      <c r="I327" s="242">
        <f t="shared" si="23"/>
        <v>1</v>
      </c>
      <c r="J327" s="242">
        <f t="shared" si="24"/>
        <v>0</v>
      </c>
      <c r="K327" s="228" t="str">
        <f t="shared" si="25"/>
        <v/>
      </c>
      <c r="L327" s="228" t="str">
        <f t="shared" si="26"/>
        <v/>
      </c>
      <c r="M327" s="176">
        <f t="shared" si="31"/>
        <v>0</v>
      </c>
      <c r="N327" s="198">
        <f t="shared" si="32"/>
        <v>0</v>
      </c>
      <c r="O327" s="40" t="str">
        <f t="shared" si="27"/>
        <v>TOWER</v>
      </c>
      <c r="Q327" s="40" t="str">
        <f t="shared" si="28"/>
        <v>TOWER600.txt</v>
      </c>
      <c r="BB327" s="235">
        <f t="shared" si="29"/>
        <v>0</v>
      </c>
      <c r="BC327" s="235">
        <f t="shared" si="33"/>
        <v>0</v>
      </c>
      <c r="BD327" s="235">
        <f t="shared" si="34"/>
        <v>0</v>
      </c>
      <c r="BE327" s="235">
        <f t="shared" si="35"/>
        <v>0</v>
      </c>
      <c r="BG327" s="21">
        <f t="shared" si="36"/>
        <v>0</v>
      </c>
      <c r="BH327" s="21">
        <f t="shared" si="37"/>
        <v>0</v>
      </c>
      <c r="BI327" s="21">
        <f t="shared" si="38"/>
        <v>0</v>
      </c>
      <c r="BJ327" s="21">
        <f t="shared" si="39"/>
        <v>0</v>
      </c>
      <c r="BQ327" s="221"/>
    </row>
    <row r="328" spans="1:69" ht="15">
      <c r="A328" s="221"/>
      <c r="B328" s="237" t="str">
        <f t="shared" si="20"/>
        <v/>
      </c>
      <c r="C328" s="238" t="str">
        <f t="shared" si="21"/>
        <v/>
      </c>
      <c r="D328" s="239">
        <f t="shared" si="22"/>
        <v>0</v>
      </c>
      <c r="E328" s="240">
        <f t="shared" si="40"/>
        <v>0</v>
      </c>
      <c r="F328" s="241">
        <f t="shared" si="19"/>
        <v>0</v>
      </c>
      <c r="G328" s="239" cm="1">
        <f t="array" ref="G328">IF(K81="", _xlfn.IFS($C328="Angle",(D328*I328)+G327,$C328="Loop",$G$289,$C328="",G327,$C328="End",G327,$C328="&gt;",G327+D328,$C328="&lt;",G327-D328,OR($C328="Λ",$C328="V"),G327), K81)</f>
        <v>3.5</v>
      </c>
      <c r="H328" s="239" cm="1">
        <f t="array" ref="H328">IF(L81="",_xlfn.IFS($C328="Angle",(D328*J328)+H327,$C328="Loop",$H$289,$C328="",H327,$C328="End",H327,$C328="Λ",H327+D328,$C328="V",H327-D328,OR($C328="&lt;",$C328="&gt;"),H327),L81)</f>
        <v>-5</v>
      </c>
      <c r="I328" s="242">
        <f t="shared" si="23"/>
        <v>1</v>
      </c>
      <c r="J328" s="242">
        <f t="shared" si="24"/>
        <v>0</v>
      </c>
      <c r="K328" s="228" t="str">
        <f t="shared" si="25"/>
        <v/>
      </c>
      <c r="L328" s="228" t="str">
        <f t="shared" si="26"/>
        <v/>
      </c>
      <c r="M328" s="176">
        <f t="shared" si="31"/>
        <v>0</v>
      </c>
      <c r="N328" s="198">
        <f t="shared" si="32"/>
        <v>0</v>
      </c>
      <c r="O328" s="40" t="str">
        <f t="shared" si="27"/>
        <v>TOWER</v>
      </c>
      <c r="Q328" s="40" t="str">
        <f t="shared" si="28"/>
        <v>TOWER600.txt</v>
      </c>
      <c r="BB328" s="235">
        <f t="shared" si="29"/>
        <v>0</v>
      </c>
      <c r="BC328" s="235">
        <f t="shared" si="33"/>
        <v>0</v>
      </c>
      <c r="BD328" s="235">
        <f t="shared" si="34"/>
        <v>0</v>
      </c>
      <c r="BE328" s="235">
        <f t="shared" si="35"/>
        <v>0</v>
      </c>
      <c r="BG328" s="21">
        <f t="shared" si="36"/>
        <v>0</v>
      </c>
      <c r="BH328" s="21">
        <f t="shared" si="37"/>
        <v>0</v>
      </c>
      <c r="BI328" s="21">
        <f t="shared" si="38"/>
        <v>0</v>
      </c>
      <c r="BJ328" s="21">
        <f t="shared" si="39"/>
        <v>0</v>
      </c>
      <c r="BQ328" s="221"/>
    </row>
    <row r="329" spans="1:69" ht="15">
      <c r="A329" s="221"/>
      <c r="B329" s="237" t="str">
        <f t="shared" si="20"/>
        <v/>
      </c>
      <c r="C329" s="238" t="str">
        <f t="shared" si="21"/>
        <v/>
      </c>
      <c r="D329" s="239">
        <f t="shared" si="22"/>
        <v>0</v>
      </c>
      <c r="E329" s="240">
        <f t="shared" si="40"/>
        <v>0</v>
      </c>
      <c r="F329" s="241">
        <f t="shared" si="19"/>
        <v>0</v>
      </c>
      <c r="G329" s="239" cm="1">
        <f t="array" ref="G329">IF(K82="", _xlfn.IFS($C329="Angle",(D329*I329)+G328,$C329="Loop",$G$289,$C329="",G328,$C329="End",G328,$C329="&gt;",G328+D329,$C329="&lt;",G328-D329,OR($C329="Λ",$C329="V"),G328), K82)</f>
        <v>3.5</v>
      </c>
      <c r="H329" s="239" cm="1">
        <f t="array" ref="H329">IF(L82="",_xlfn.IFS($C329="Angle",(D329*J329)+H328,$C329="Loop",$H$289,$C329="",H328,$C329="End",H328,$C329="Λ",H328+D329,$C329="V",H328-D329,OR($C329="&lt;",$C329="&gt;"),H328),L82)</f>
        <v>-5</v>
      </c>
      <c r="I329" s="242">
        <f t="shared" si="23"/>
        <v>1</v>
      </c>
      <c r="J329" s="242">
        <f t="shared" si="24"/>
        <v>0</v>
      </c>
      <c r="K329" s="228" t="str">
        <f t="shared" si="25"/>
        <v/>
      </c>
      <c r="L329" s="228" t="str">
        <f t="shared" si="26"/>
        <v/>
      </c>
      <c r="M329" s="176">
        <f t="shared" si="31"/>
        <v>0</v>
      </c>
      <c r="N329" s="198">
        <f t="shared" si="32"/>
        <v>0</v>
      </c>
      <c r="O329" s="40" t="str">
        <f t="shared" si="27"/>
        <v>TOWER</v>
      </c>
      <c r="Q329" s="40" t="str">
        <f t="shared" si="28"/>
        <v>TOWER600.txt</v>
      </c>
      <c r="BB329" s="235">
        <f t="shared" si="29"/>
        <v>0</v>
      </c>
      <c r="BC329" s="235">
        <f t="shared" si="33"/>
        <v>0</v>
      </c>
      <c r="BD329" s="235">
        <f t="shared" si="34"/>
        <v>0</v>
      </c>
      <c r="BE329" s="235">
        <f t="shared" si="35"/>
        <v>0</v>
      </c>
      <c r="BG329" s="21">
        <f t="shared" si="36"/>
        <v>0</v>
      </c>
      <c r="BH329" s="21">
        <f t="shared" si="37"/>
        <v>0</v>
      </c>
      <c r="BI329" s="21">
        <f t="shared" si="38"/>
        <v>0</v>
      </c>
      <c r="BJ329" s="21">
        <f t="shared" si="39"/>
        <v>0</v>
      </c>
      <c r="BQ329" s="221"/>
    </row>
    <row r="330" spans="1:69" ht="15">
      <c r="A330" s="221"/>
      <c r="B330" s="237" t="str">
        <f t="shared" si="20"/>
        <v/>
      </c>
      <c r="C330" s="238" t="str">
        <f t="shared" si="21"/>
        <v/>
      </c>
      <c r="D330" s="239">
        <f t="shared" si="22"/>
        <v>0</v>
      </c>
      <c r="E330" s="240">
        <f t="shared" si="40"/>
        <v>0</v>
      </c>
      <c r="F330" s="241">
        <f t="shared" si="19"/>
        <v>0</v>
      </c>
      <c r="G330" s="239" cm="1">
        <f t="array" ref="G330">IF(K83="", _xlfn.IFS($C330="Angle",(D330*I330)+G329,$C330="Loop",$G$289,$C330="",G329,$C330="End",G329,$C330="&gt;",G329+D330,$C330="&lt;",G329-D330,OR($C330="Λ",$C330="V"),G329), K83)</f>
        <v>3.5</v>
      </c>
      <c r="H330" s="239" cm="1">
        <f t="array" ref="H330">IF(L83="",_xlfn.IFS($C330="Angle",(D330*J330)+H329,$C330="Loop",$H$289,$C330="",H329,$C330="End",H329,$C330="Λ",H329+D330,$C330="V",H329-D330,OR($C330="&lt;",$C330="&gt;"),H329),L83)</f>
        <v>-5</v>
      </c>
      <c r="I330" s="242">
        <f t="shared" si="23"/>
        <v>1</v>
      </c>
      <c r="J330" s="242">
        <f t="shared" si="24"/>
        <v>0</v>
      </c>
      <c r="K330" s="228" t="str">
        <f t="shared" si="25"/>
        <v/>
      </c>
      <c r="L330" s="228" t="str">
        <f t="shared" si="26"/>
        <v/>
      </c>
      <c r="M330" s="176">
        <f t="shared" si="31"/>
        <v>0</v>
      </c>
      <c r="N330" s="198">
        <f t="shared" si="32"/>
        <v>0</v>
      </c>
      <c r="O330" s="40" t="str">
        <f t="shared" si="27"/>
        <v>TOWER</v>
      </c>
      <c r="Q330" s="40" t="str">
        <f t="shared" si="28"/>
        <v>TOWER600.txt</v>
      </c>
      <c r="BB330" s="235">
        <f t="shared" si="29"/>
        <v>0</v>
      </c>
      <c r="BC330" s="235">
        <f t="shared" si="33"/>
        <v>0</v>
      </c>
      <c r="BD330" s="235">
        <f t="shared" si="34"/>
        <v>0</v>
      </c>
      <c r="BE330" s="235">
        <f t="shared" si="35"/>
        <v>0</v>
      </c>
      <c r="BG330" s="21">
        <f t="shared" si="36"/>
        <v>0</v>
      </c>
      <c r="BH330" s="21">
        <f t="shared" si="37"/>
        <v>0</v>
      </c>
      <c r="BI330" s="21">
        <f t="shared" si="38"/>
        <v>0</v>
      </c>
      <c r="BJ330" s="21">
        <f t="shared" si="39"/>
        <v>0</v>
      </c>
      <c r="BQ330" s="221"/>
    </row>
    <row r="331" spans="1:69" ht="15">
      <c r="A331" s="221"/>
      <c r="B331" s="237" t="str">
        <f t="shared" si="20"/>
        <v/>
      </c>
      <c r="C331" s="238" t="str">
        <f t="shared" si="21"/>
        <v/>
      </c>
      <c r="D331" s="239">
        <f t="shared" si="22"/>
        <v>0</v>
      </c>
      <c r="E331" s="240">
        <f t="shared" si="40"/>
        <v>0</v>
      </c>
      <c r="F331" s="241">
        <f t="shared" si="19"/>
        <v>0</v>
      </c>
      <c r="G331" s="239" cm="1">
        <f t="array" ref="G331">IF(K84="", _xlfn.IFS($C331="Angle",(D331*I331)+G330,$C331="Loop",$G$289,$C331="",G330,$C331="End",G330,$C331="&gt;",G330+D331,$C331="&lt;",G330-D331,OR($C331="Λ",$C331="V"),G330), K84)</f>
        <v>3.5</v>
      </c>
      <c r="H331" s="239" cm="1">
        <f t="array" ref="H331">IF(L84="",_xlfn.IFS($C331="Angle",(D331*J331)+H330,$C331="Loop",$H$289,$C331="",H330,$C331="End",H330,$C331="Λ",H330+D331,$C331="V",H330-D331,OR($C331="&lt;",$C331="&gt;"),H330),L84)</f>
        <v>-5</v>
      </c>
      <c r="I331" s="242">
        <f t="shared" si="23"/>
        <v>1</v>
      </c>
      <c r="J331" s="242">
        <f t="shared" si="24"/>
        <v>0</v>
      </c>
      <c r="K331" s="228" t="str">
        <f t="shared" si="25"/>
        <v/>
      </c>
      <c r="L331" s="228" t="str">
        <f t="shared" si="26"/>
        <v/>
      </c>
      <c r="M331" s="176">
        <f t="shared" si="31"/>
        <v>0</v>
      </c>
      <c r="N331" s="198">
        <f t="shared" si="32"/>
        <v>0</v>
      </c>
      <c r="O331" s="40" t="str">
        <f t="shared" si="27"/>
        <v>TOWER</v>
      </c>
      <c r="Q331" s="40" t="str">
        <f t="shared" si="28"/>
        <v>TOWER600.txt</v>
      </c>
      <c r="BB331" s="235">
        <f t="shared" si="29"/>
        <v>0</v>
      </c>
      <c r="BC331" s="235">
        <f t="shared" si="33"/>
        <v>0</v>
      </c>
      <c r="BD331" s="235">
        <f t="shared" si="34"/>
        <v>0</v>
      </c>
      <c r="BE331" s="235">
        <f t="shared" si="35"/>
        <v>0</v>
      </c>
      <c r="BG331" s="21">
        <f t="shared" si="36"/>
        <v>0</v>
      </c>
      <c r="BH331" s="21">
        <f t="shared" si="37"/>
        <v>0</v>
      </c>
      <c r="BI331" s="21">
        <f t="shared" si="38"/>
        <v>0</v>
      </c>
      <c r="BJ331" s="21">
        <f t="shared" si="39"/>
        <v>0</v>
      </c>
      <c r="BQ331" s="221"/>
    </row>
    <row r="332" spans="1:69" ht="15">
      <c r="A332" s="221"/>
      <c r="B332" s="237" t="str">
        <f t="shared" si="20"/>
        <v/>
      </c>
      <c r="C332" s="238" t="str">
        <f t="shared" si="21"/>
        <v/>
      </c>
      <c r="D332" s="239">
        <f t="shared" si="22"/>
        <v>0</v>
      </c>
      <c r="E332" s="240">
        <f t="shared" si="40"/>
        <v>0</v>
      </c>
      <c r="F332" s="241">
        <f t="shared" si="19"/>
        <v>0</v>
      </c>
      <c r="G332" s="239" cm="1">
        <f t="array" ref="G332">IF(K85="", _xlfn.IFS($C332="Angle",(D332*I332)+G331,$C332="Loop",$G$289,$C332="",G331,$C332="End",G331,$C332="&gt;",G331+D332,$C332="&lt;",G331-D332,OR($C332="Λ",$C332="V"),G331), K85)</f>
        <v>3.5</v>
      </c>
      <c r="H332" s="239" cm="1">
        <f t="array" ref="H332">IF(L85="",_xlfn.IFS($C332="Angle",(D332*J332)+H331,$C332="Loop",$H$289,$C332="",H331,$C332="End",H331,$C332="Λ",H331+D332,$C332="V",H331-D332,OR($C332="&lt;",$C332="&gt;"),H331),L85)</f>
        <v>-5</v>
      </c>
      <c r="I332" s="242">
        <f t="shared" si="23"/>
        <v>1</v>
      </c>
      <c r="J332" s="242">
        <f t="shared" si="24"/>
        <v>0</v>
      </c>
      <c r="K332" s="228" t="str">
        <f t="shared" si="25"/>
        <v/>
      </c>
      <c r="L332" s="228" t="str">
        <f t="shared" si="26"/>
        <v/>
      </c>
      <c r="M332" s="176">
        <f t="shared" si="31"/>
        <v>0</v>
      </c>
      <c r="N332" s="198">
        <f t="shared" si="32"/>
        <v>0</v>
      </c>
      <c r="O332" s="40" t="str">
        <f t="shared" si="27"/>
        <v>TOWER</v>
      </c>
      <c r="Q332" s="40" t="str">
        <f t="shared" si="28"/>
        <v>TOWER600.txt</v>
      </c>
      <c r="BB332" s="235">
        <f t="shared" si="29"/>
        <v>0</v>
      </c>
      <c r="BC332" s="235">
        <f t="shared" si="33"/>
        <v>0</v>
      </c>
      <c r="BD332" s="235">
        <f t="shared" si="34"/>
        <v>0</v>
      </c>
      <c r="BE332" s="235">
        <f t="shared" si="35"/>
        <v>0</v>
      </c>
      <c r="BG332" s="21">
        <f t="shared" si="36"/>
        <v>0</v>
      </c>
      <c r="BH332" s="21">
        <f t="shared" si="37"/>
        <v>0</v>
      </c>
      <c r="BI332" s="21">
        <f t="shared" si="38"/>
        <v>0</v>
      </c>
      <c r="BJ332" s="21">
        <f t="shared" si="39"/>
        <v>0</v>
      </c>
      <c r="BQ332" s="221"/>
    </row>
    <row r="333" spans="1:69" ht="15">
      <c r="A333" s="221"/>
      <c r="B333" s="237" t="str">
        <f t="shared" si="20"/>
        <v/>
      </c>
      <c r="C333" s="238" t="str">
        <f t="shared" si="21"/>
        <v/>
      </c>
      <c r="D333" s="239">
        <f t="shared" si="22"/>
        <v>0</v>
      </c>
      <c r="E333" s="240">
        <f t="shared" si="40"/>
        <v>0</v>
      </c>
      <c r="F333" s="241">
        <f t="shared" si="19"/>
        <v>0</v>
      </c>
      <c r="G333" s="239" cm="1">
        <f t="array" ref="G333">IF(K86="", _xlfn.IFS($C333="Angle",(D333*I333)+G332,$C333="Loop",$G$289,$C333="",G332,$C333="End",G332,$C333="&gt;",G332+D333,$C333="&lt;",G332-D333,OR($C333="Λ",$C333="V"),G332), K86)</f>
        <v>3.5</v>
      </c>
      <c r="H333" s="239" cm="1">
        <f t="array" ref="H333">IF(L86="",_xlfn.IFS($C333="Angle",(D333*J333)+H332,$C333="Loop",$H$289,$C333="",H332,$C333="End",H332,$C333="Λ",H332+D333,$C333="V",H332-D333,OR($C333="&lt;",$C333="&gt;"),H332),L86)</f>
        <v>-5</v>
      </c>
      <c r="I333" s="242">
        <f t="shared" si="23"/>
        <v>1</v>
      </c>
      <c r="J333" s="242">
        <f t="shared" si="24"/>
        <v>0</v>
      </c>
      <c r="K333" s="228" t="str">
        <f t="shared" si="25"/>
        <v/>
      </c>
      <c r="L333" s="228" t="str">
        <f t="shared" si="26"/>
        <v/>
      </c>
      <c r="M333" s="176">
        <f t="shared" si="31"/>
        <v>0</v>
      </c>
      <c r="N333" s="198">
        <f t="shared" si="32"/>
        <v>0</v>
      </c>
      <c r="O333" s="40" t="str">
        <f t="shared" si="27"/>
        <v>TOWER</v>
      </c>
      <c r="Q333" s="40" t="str">
        <f t="shared" si="28"/>
        <v>TOWER600.txt</v>
      </c>
      <c r="BB333" s="235">
        <f t="shared" si="29"/>
        <v>0</v>
      </c>
      <c r="BC333" s="235">
        <f t="shared" si="33"/>
        <v>0</v>
      </c>
      <c r="BD333" s="235">
        <f t="shared" si="34"/>
        <v>0</v>
      </c>
      <c r="BE333" s="235">
        <f t="shared" si="35"/>
        <v>0</v>
      </c>
      <c r="BG333" s="21">
        <f t="shared" si="36"/>
        <v>0</v>
      </c>
      <c r="BH333" s="21">
        <f t="shared" si="37"/>
        <v>0</v>
      </c>
      <c r="BI333" s="21">
        <f t="shared" si="38"/>
        <v>0</v>
      </c>
      <c r="BJ333" s="21">
        <f t="shared" si="39"/>
        <v>0</v>
      </c>
      <c r="BQ333" s="221"/>
    </row>
    <row r="334" spans="1:69" ht="15">
      <c r="A334" s="221"/>
      <c r="B334" s="237" t="str">
        <f t="shared" si="20"/>
        <v/>
      </c>
      <c r="C334" s="238" t="str">
        <f t="shared" si="21"/>
        <v/>
      </c>
      <c r="D334" s="239">
        <f t="shared" si="22"/>
        <v>0</v>
      </c>
      <c r="E334" s="240">
        <f t="shared" si="40"/>
        <v>0</v>
      </c>
      <c r="F334" s="241">
        <f t="shared" si="19"/>
        <v>0</v>
      </c>
      <c r="G334" s="239" cm="1">
        <f t="array" ref="G334">IF(K87="", _xlfn.IFS($C334="Angle",(D334*I334)+G333,$C334="Loop",$G$289,$C334="",G333,$C334="End",G333,$C334="&gt;",G333+D334,$C334="&lt;",G333-D334,OR($C334="Λ",$C334="V"),G333), K87)</f>
        <v>3.5</v>
      </c>
      <c r="H334" s="239" cm="1">
        <f t="array" ref="H334">IF(L87="",_xlfn.IFS($C334="Angle",(D334*J334)+H333,$C334="Loop",$H$289,$C334="",H333,$C334="End",H333,$C334="Λ",H333+D334,$C334="V",H333-D334,OR($C334="&lt;",$C334="&gt;"),H333),L87)</f>
        <v>-5</v>
      </c>
      <c r="I334" s="242">
        <f t="shared" si="23"/>
        <v>1</v>
      </c>
      <c r="J334" s="242">
        <f t="shared" si="24"/>
        <v>0</v>
      </c>
      <c r="K334" s="228" t="str">
        <f t="shared" si="25"/>
        <v/>
      </c>
      <c r="L334" s="228" t="str">
        <f t="shared" si="26"/>
        <v/>
      </c>
      <c r="M334" s="176">
        <f t="shared" si="31"/>
        <v>0</v>
      </c>
      <c r="N334" s="198">
        <f t="shared" si="32"/>
        <v>0</v>
      </c>
      <c r="O334" s="40" t="str">
        <f t="shared" si="27"/>
        <v>TOWER</v>
      </c>
      <c r="Q334" s="40" t="str">
        <f t="shared" si="28"/>
        <v>TOWER600.txt</v>
      </c>
      <c r="BB334" s="235">
        <f t="shared" si="29"/>
        <v>0</v>
      </c>
      <c r="BC334" s="235">
        <f t="shared" si="33"/>
        <v>0</v>
      </c>
      <c r="BD334" s="235">
        <f t="shared" si="34"/>
        <v>0</v>
      </c>
      <c r="BE334" s="235">
        <f t="shared" si="35"/>
        <v>0</v>
      </c>
      <c r="BG334" s="21">
        <f t="shared" si="36"/>
        <v>0</v>
      </c>
      <c r="BH334" s="21">
        <f t="shared" si="37"/>
        <v>0</v>
      </c>
      <c r="BI334" s="21">
        <f t="shared" si="38"/>
        <v>0</v>
      </c>
      <c r="BJ334" s="21">
        <f t="shared" si="39"/>
        <v>0</v>
      </c>
      <c r="BQ334" s="221"/>
    </row>
    <row r="335" spans="1:69" ht="15">
      <c r="A335" s="221"/>
      <c r="B335" s="237" t="str">
        <f t="shared" si="20"/>
        <v/>
      </c>
      <c r="C335" s="238" t="str">
        <f t="shared" si="21"/>
        <v/>
      </c>
      <c r="D335" s="239">
        <f t="shared" si="22"/>
        <v>0</v>
      </c>
      <c r="E335" s="240">
        <f t="shared" si="40"/>
        <v>0</v>
      </c>
      <c r="F335" s="241">
        <f t="shared" si="19"/>
        <v>0</v>
      </c>
      <c r="G335" s="239" cm="1">
        <f t="array" ref="G335">IF(K88="", _xlfn.IFS($C335="Angle",(D335*I335)+G334,$C335="Loop",$G$289,$C335="",G334,$C335="End",G334,$C335="&gt;",G334+D335,$C335="&lt;",G334-D335,OR($C335="Λ",$C335="V"),G334), K88)</f>
        <v>3.5</v>
      </c>
      <c r="H335" s="239" cm="1">
        <f t="array" ref="H335">IF(L88="",_xlfn.IFS($C335="Angle",(D335*J335)+H334,$C335="Loop",$H$289,$C335="",H334,$C335="End",H334,$C335="Λ",H334+D335,$C335="V",H334-D335,OR($C335="&lt;",$C335="&gt;"),H334),L88)</f>
        <v>-5</v>
      </c>
      <c r="I335" s="242">
        <f t="shared" si="23"/>
        <v>1</v>
      </c>
      <c r="J335" s="242">
        <f t="shared" si="24"/>
        <v>0</v>
      </c>
      <c r="K335" s="228" t="str">
        <f t="shared" si="25"/>
        <v/>
      </c>
      <c r="L335" s="228" t="str">
        <f t="shared" si="26"/>
        <v/>
      </c>
      <c r="M335" s="176">
        <f t="shared" si="31"/>
        <v>0</v>
      </c>
      <c r="N335" s="198">
        <f t="shared" si="32"/>
        <v>0</v>
      </c>
      <c r="O335" s="40" t="str">
        <f t="shared" si="27"/>
        <v>TOWER</v>
      </c>
      <c r="Q335" s="40" t="str">
        <f t="shared" si="28"/>
        <v>TOWER600.txt</v>
      </c>
      <c r="BB335" s="235">
        <f t="shared" si="29"/>
        <v>0</v>
      </c>
      <c r="BC335" s="235">
        <f t="shared" si="33"/>
        <v>0</v>
      </c>
      <c r="BD335" s="235">
        <f t="shared" si="34"/>
        <v>0</v>
      </c>
      <c r="BE335" s="235">
        <f t="shared" si="35"/>
        <v>0</v>
      </c>
      <c r="BG335" s="21">
        <f t="shared" si="36"/>
        <v>0</v>
      </c>
      <c r="BH335" s="21">
        <f t="shared" si="37"/>
        <v>0</v>
      </c>
      <c r="BI335" s="21">
        <f t="shared" si="38"/>
        <v>0</v>
      </c>
      <c r="BJ335" s="21">
        <f t="shared" si="39"/>
        <v>0</v>
      </c>
      <c r="BQ335" s="221"/>
    </row>
    <row r="336" spans="1:69" ht="15">
      <c r="A336" s="221"/>
      <c r="B336" s="237" t="str">
        <f t="shared" si="20"/>
        <v/>
      </c>
      <c r="C336" s="238" t="str">
        <f t="shared" si="21"/>
        <v/>
      </c>
      <c r="D336" s="239">
        <f t="shared" si="22"/>
        <v>0</v>
      </c>
      <c r="E336" s="240">
        <f t="shared" si="40"/>
        <v>0</v>
      </c>
      <c r="F336" s="241">
        <f t="shared" si="19"/>
        <v>0</v>
      </c>
      <c r="G336" s="239" cm="1">
        <f t="array" ref="G336">IF(K89="", _xlfn.IFS($C336="Angle",(D336*I336)+G335,$C336="Loop",$G$289,$C336="",G335,$C336="End",G335,$C336="&gt;",G335+D336,$C336="&lt;",G335-D336,OR($C336="Λ",$C336="V"),G335), K89)</f>
        <v>3.5</v>
      </c>
      <c r="H336" s="239" cm="1">
        <f t="array" ref="H336">IF(L89="",_xlfn.IFS($C336="Angle",(D336*J336)+H335,$C336="Loop",$H$289,$C336="",H335,$C336="End",H335,$C336="Λ",H335+D336,$C336="V",H335-D336,OR($C336="&lt;",$C336="&gt;"),H335),L89)</f>
        <v>-5</v>
      </c>
      <c r="I336" s="242">
        <f t="shared" si="23"/>
        <v>1</v>
      </c>
      <c r="J336" s="242">
        <f t="shared" si="24"/>
        <v>0</v>
      </c>
      <c r="K336" s="228" t="str">
        <f t="shared" si="25"/>
        <v/>
      </c>
      <c r="L336" s="228" t="str">
        <f t="shared" si="26"/>
        <v/>
      </c>
      <c r="M336" s="176">
        <f t="shared" si="31"/>
        <v>0</v>
      </c>
      <c r="N336" s="198">
        <f t="shared" si="32"/>
        <v>0</v>
      </c>
      <c r="O336" s="40" t="str">
        <f t="shared" si="27"/>
        <v>TOWER</v>
      </c>
      <c r="Q336" s="40" t="str">
        <f t="shared" si="28"/>
        <v>TOWER600.txt</v>
      </c>
      <c r="BB336" s="235">
        <f t="shared" si="29"/>
        <v>0</v>
      </c>
      <c r="BC336" s="235">
        <f t="shared" si="33"/>
        <v>0</v>
      </c>
      <c r="BD336" s="235">
        <f t="shared" si="34"/>
        <v>0</v>
      </c>
      <c r="BE336" s="235">
        <f t="shared" si="35"/>
        <v>0</v>
      </c>
      <c r="BG336" s="21">
        <f t="shared" si="36"/>
        <v>0</v>
      </c>
      <c r="BH336" s="21">
        <f t="shared" si="37"/>
        <v>0</v>
      </c>
      <c r="BI336" s="21">
        <f t="shared" si="38"/>
        <v>0</v>
      </c>
      <c r="BJ336" s="21">
        <f t="shared" si="39"/>
        <v>0</v>
      </c>
      <c r="BQ336" s="221"/>
    </row>
    <row r="337" spans="1:69" ht="15">
      <c r="A337" s="221"/>
      <c r="B337" s="237" t="str">
        <f t="shared" si="20"/>
        <v/>
      </c>
      <c r="C337" s="238" t="str">
        <f t="shared" si="21"/>
        <v/>
      </c>
      <c r="D337" s="239">
        <f t="shared" si="22"/>
        <v>0</v>
      </c>
      <c r="E337" s="240">
        <f t="shared" si="40"/>
        <v>0</v>
      </c>
      <c r="F337" s="241">
        <f t="shared" si="19"/>
        <v>0</v>
      </c>
      <c r="G337" s="239" cm="1">
        <f t="array" ref="G337">IF(K90="", _xlfn.IFS($C337="Angle",(D337*I337)+G336,$C337="Loop",$G$289,$C337="",G336,$C337="End",G336,$C337="&gt;",G336+D337,$C337="&lt;",G336-D337,OR($C337="Λ",$C337="V"),G336), K90)</f>
        <v>3.5</v>
      </c>
      <c r="H337" s="239" cm="1">
        <f t="array" ref="H337">IF(L90="",_xlfn.IFS($C337="Angle",(D337*J337)+H336,$C337="Loop",$H$289,$C337="",H336,$C337="End",H336,$C337="Λ",H336+D337,$C337="V",H336-D337,OR($C337="&lt;",$C337="&gt;"),H336),L90)</f>
        <v>-5</v>
      </c>
      <c r="I337" s="242">
        <f t="shared" si="23"/>
        <v>1</v>
      </c>
      <c r="J337" s="242">
        <f t="shared" si="24"/>
        <v>0</v>
      </c>
      <c r="K337" s="228" t="str">
        <f t="shared" si="25"/>
        <v/>
      </c>
      <c r="L337" s="228" t="str">
        <f t="shared" si="26"/>
        <v/>
      </c>
      <c r="M337" s="176">
        <f t="shared" si="31"/>
        <v>0</v>
      </c>
      <c r="N337" s="198">
        <f t="shared" si="32"/>
        <v>0</v>
      </c>
      <c r="O337" s="40" t="str">
        <f t="shared" si="27"/>
        <v>TOWER</v>
      </c>
      <c r="Q337" s="40" t="str">
        <f t="shared" si="28"/>
        <v>TOWER600.txt</v>
      </c>
      <c r="BB337" s="235">
        <f t="shared" si="29"/>
        <v>0</v>
      </c>
      <c r="BC337" s="235">
        <f t="shared" si="33"/>
        <v>0</v>
      </c>
      <c r="BD337" s="235">
        <f t="shared" si="34"/>
        <v>0</v>
      </c>
      <c r="BE337" s="235">
        <f t="shared" si="35"/>
        <v>0</v>
      </c>
      <c r="BG337" s="21">
        <f t="shared" si="36"/>
        <v>0</v>
      </c>
      <c r="BH337" s="21">
        <f t="shared" si="37"/>
        <v>0</v>
      </c>
      <c r="BI337" s="21">
        <f t="shared" si="38"/>
        <v>0</v>
      </c>
      <c r="BJ337" s="21">
        <f t="shared" si="39"/>
        <v>0</v>
      </c>
      <c r="BQ337" s="221"/>
    </row>
    <row r="338" spans="1:69" ht="15">
      <c r="A338" s="221"/>
      <c r="B338" s="237" t="str">
        <f t="shared" si="20"/>
        <v/>
      </c>
      <c r="C338" s="238" t="str">
        <f t="shared" si="21"/>
        <v/>
      </c>
      <c r="D338" s="239">
        <f t="shared" si="22"/>
        <v>0</v>
      </c>
      <c r="E338" s="240">
        <f t="shared" si="40"/>
        <v>0</v>
      </c>
      <c r="F338" s="241">
        <f t="shared" si="19"/>
        <v>0</v>
      </c>
      <c r="G338" s="239" cm="1">
        <f t="array" ref="G338">IF(K91="", _xlfn.IFS($C338="Angle",(D338*I338)+G337,$C338="Loop",$G$289,$C338="",G337,$C338="End",G337,$C338="&gt;",G337+D338,$C338="&lt;",G337-D338,OR($C338="Λ",$C338="V"),G337), K91)</f>
        <v>3.5</v>
      </c>
      <c r="H338" s="239" cm="1">
        <f t="array" ref="H338">IF(L91="",_xlfn.IFS($C338="Angle",(D338*J338)+H337,$C338="Loop",$H$289,$C338="",H337,$C338="End",H337,$C338="Λ",H337+D338,$C338="V",H337-D338,OR($C338="&lt;",$C338="&gt;"),H337),L91)</f>
        <v>-5</v>
      </c>
      <c r="I338" s="242">
        <f t="shared" si="23"/>
        <v>1</v>
      </c>
      <c r="J338" s="242">
        <f t="shared" si="24"/>
        <v>0</v>
      </c>
      <c r="K338" s="228" t="str">
        <f t="shared" si="25"/>
        <v/>
      </c>
      <c r="L338" s="228" t="str">
        <f t="shared" si="26"/>
        <v/>
      </c>
      <c r="M338" s="176">
        <f t="shared" si="31"/>
        <v>0</v>
      </c>
      <c r="N338" s="198">
        <f t="shared" si="32"/>
        <v>0</v>
      </c>
      <c r="O338" s="40" t="str">
        <f t="shared" si="27"/>
        <v>TOWER</v>
      </c>
      <c r="Q338" s="40" t="str">
        <f t="shared" si="28"/>
        <v>TOWER600.txt</v>
      </c>
      <c r="BB338" s="235">
        <f t="shared" si="29"/>
        <v>0</v>
      </c>
      <c r="BC338" s="235">
        <f t="shared" si="33"/>
        <v>0</v>
      </c>
      <c r="BD338" s="235">
        <f t="shared" si="34"/>
        <v>0</v>
      </c>
      <c r="BE338" s="235">
        <f t="shared" si="35"/>
        <v>0</v>
      </c>
      <c r="BG338" s="21">
        <f t="shared" si="36"/>
        <v>0</v>
      </c>
      <c r="BH338" s="21">
        <f t="shared" si="37"/>
        <v>0</v>
      </c>
      <c r="BI338" s="21">
        <f t="shared" si="38"/>
        <v>0</v>
      </c>
      <c r="BJ338" s="21">
        <f t="shared" si="39"/>
        <v>0</v>
      </c>
      <c r="BQ338" s="221"/>
    </row>
    <row r="339" spans="1:69" ht="15">
      <c r="A339" s="221"/>
      <c r="B339" s="237" t="str">
        <f t="shared" si="20"/>
        <v/>
      </c>
      <c r="C339" s="238" t="str">
        <f t="shared" si="21"/>
        <v/>
      </c>
      <c r="D339" s="239">
        <f t="shared" si="22"/>
        <v>0</v>
      </c>
      <c r="E339" s="240">
        <f t="shared" si="40"/>
        <v>0</v>
      </c>
      <c r="F339" s="241">
        <f t="shared" si="19"/>
        <v>0</v>
      </c>
      <c r="G339" s="239" cm="1">
        <f t="array" ref="G339">IF(K92="", _xlfn.IFS($C339="Angle",(D339*I339)+G338,$C339="Loop",$G$289,$C339="",G338,$C339="End",G338,$C339="&gt;",G338+D339,$C339="&lt;",G338-D339,OR($C339="Λ",$C339="V"),G338), K92)</f>
        <v>3.5</v>
      </c>
      <c r="H339" s="239" cm="1">
        <f t="array" ref="H339">IF(L92="",_xlfn.IFS($C339="Angle",(D339*J339)+H338,$C339="Loop",$H$289,$C339="",H338,$C339="End",H338,$C339="Λ",H338+D339,$C339="V",H338-D339,OR($C339="&lt;",$C339="&gt;"),H338),L92)</f>
        <v>-5</v>
      </c>
      <c r="I339" s="242">
        <f t="shared" si="23"/>
        <v>1</v>
      </c>
      <c r="J339" s="242">
        <f t="shared" si="24"/>
        <v>0</v>
      </c>
      <c r="K339" s="228" t="str">
        <f t="shared" si="25"/>
        <v/>
      </c>
      <c r="L339" s="228" t="str">
        <f t="shared" si="26"/>
        <v/>
      </c>
      <c r="M339" s="176">
        <f t="shared" si="31"/>
        <v>0</v>
      </c>
      <c r="N339" s="198">
        <f t="shared" si="32"/>
        <v>0</v>
      </c>
      <c r="O339" s="40" t="str">
        <f t="shared" si="27"/>
        <v>TOWER</v>
      </c>
      <c r="Q339" s="40" t="str">
        <f t="shared" si="28"/>
        <v>TOWER600.txt</v>
      </c>
      <c r="BB339" s="235">
        <f t="shared" si="29"/>
        <v>0</v>
      </c>
      <c r="BC339" s="235">
        <f t="shared" si="33"/>
        <v>0</v>
      </c>
      <c r="BD339" s="235">
        <f t="shared" si="34"/>
        <v>0</v>
      </c>
      <c r="BE339" s="235">
        <f t="shared" si="35"/>
        <v>0</v>
      </c>
      <c r="BG339" s="21">
        <f t="shared" si="36"/>
        <v>0</v>
      </c>
      <c r="BH339" s="21">
        <f t="shared" si="37"/>
        <v>0</v>
      </c>
      <c r="BI339" s="21">
        <f t="shared" si="38"/>
        <v>0</v>
      </c>
      <c r="BJ339" s="21">
        <f t="shared" si="39"/>
        <v>0</v>
      </c>
      <c r="BQ339" s="221"/>
    </row>
    <row r="340" spans="1:69" ht="15">
      <c r="A340" s="221"/>
      <c r="B340" s="237" t="str">
        <f t="shared" si="20"/>
        <v/>
      </c>
      <c r="C340" s="238" t="str">
        <f t="shared" si="21"/>
        <v/>
      </c>
      <c r="D340" s="239">
        <f t="shared" si="22"/>
        <v>0</v>
      </c>
      <c r="E340" s="240">
        <f t="shared" si="40"/>
        <v>0</v>
      </c>
      <c r="F340" s="241">
        <f>+IF(C340="Loop",SQRT((G340-G339)^2+(H340-H339)^2),0)</f>
        <v>0</v>
      </c>
      <c r="G340" s="239" cm="1">
        <f t="array" ref="G340">IF(K93="", _xlfn.IFS($C340="Angle",(D340*I340)+G339,$C340="Loop",$G$289,$C340="",G339,$C340="End",G339,$C340="&gt;",G339+D340,$C340="&lt;",G339-D340,OR($C340="Λ",$C340="V"),G339), K93)</f>
        <v>3.5</v>
      </c>
      <c r="H340" s="239" cm="1">
        <f t="array" ref="H340">IF(L93="",_xlfn.IFS($C340="Angle",(D340*J340)+H339,$C340="Loop",$H$289,$C340="",H339,$C340="End",H339,$C340="Λ",H339+D340,$C340="V",H339-D340,OR($C340="&lt;",$C340="&gt;"),H339),L93)</f>
        <v>-5</v>
      </c>
      <c r="I340" s="242">
        <f>+COS(RADIANS(E340))</f>
        <v>1</v>
      </c>
      <c r="J340" s="242">
        <f>SIN(RADIANS(E340))</f>
        <v>0</v>
      </c>
      <c r="K340" s="228" t="str">
        <f>+IF(OR(D340=0,D340=""),"",IF(MOD(D340,$K$286),_xlfn.FLOOR.MATH(D340/$K$286),_xlfn.FLOOR.MATH(D340/$K$286)-1))</f>
        <v/>
      </c>
      <c r="L340" s="228" t="str">
        <f>+IF(OR(F340=0,F340=""),"",IF(MOD(F340,$K$286),_xlfn.FLOOR.MATH(F340/$K$286),_xlfn.FLOOR.MATH(F340/$K$286)-1))</f>
        <v/>
      </c>
      <c r="M340" s="176">
        <f>+MAX(K340:L340)</f>
        <v>0</v>
      </c>
      <c r="N340" s="198">
        <f>IF(AND(D340=0,F340=0),0,IF(D340&lt;&gt;0,D340/(M340+1),F340/(M340+1)))</f>
        <v>0</v>
      </c>
      <c r="O340" s="40" t="str">
        <f t="shared" si="27"/>
        <v>TOWER</v>
      </c>
      <c r="Q340" s="40" t="str">
        <f t="shared" si="28"/>
        <v>TOWER600.txt</v>
      </c>
      <c r="BB340" s="235">
        <f t="shared" si="29"/>
        <v>0</v>
      </c>
      <c r="BC340" s="235">
        <f t="shared" si="33"/>
        <v>0</v>
      </c>
      <c r="BD340" s="235">
        <f t="shared" si="34"/>
        <v>0</v>
      </c>
      <c r="BE340" s="235">
        <f t="shared" si="35"/>
        <v>0</v>
      </c>
      <c r="BG340" s="21">
        <f t="shared" si="36"/>
        <v>0</v>
      </c>
      <c r="BH340" s="21">
        <f t="shared" si="37"/>
        <v>0</v>
      </c>
      <c r="BI340" s="21">
        <f t="shared" si="38"/>
        <v>0</v>
      </c>
      <c r="BJ340" s="21">
        <f t="shared" si="39"/>
        <v>0</v>
      </c>
      <c r="BQ340" s="221"/>
    </row>
    <row r="341" spans="1:69" ht="15">
      <c r="A341" s="221"/>
      <c r="B341" s="237" t="str">
        <f t="shared" si="20"/>
        <v/>
      </c>
      <c r="C341" s="238" t="str">
        <f t="shared" si="21"/>
        <v/>
      </c>
      <c r="D341" s="239">
        <f t="shared" si="22"/>
        <v>0</v>
      </c>
      <c r="E341" s="240">
        <f t="shared" si="40"/>
        <v>0</v>
      </c>
      <c r="F341" s="241">
        <f>+IF(C341="Loop",SQRT((G341-G340)^2+(H341-H340)^2),0)</f>
        <v>0</v>
      </c>
      <c r="G341" s="239" cm="1">
        <f t="array" ref="G341">IF(K94="", _xlfn.IFS($C341="Angle",(D341*I341)+G340,$C341="Loop",$G$289,$C341="",G340,$C341="End",G340,$C341="&gt;",G340+D341,$C341="&lt;",G340-D341,OR($C341="Λ",$C341="V"),G340), K94)</f>
        <v>3.5</v>
      </c>
      <c r="H341" s="239" cm="1">
        <f t="array" ref="H341">IF(L94="",_xlfn.IFS($C341="Angle",(D341*J341)+H340,$C341="Loop",$H$289,$C341="",H340,$C341="End",H340,$C341="Λ",H340+D341,$C341="V",H340-D341,OR($C341="&lt;",$C341="&gt;"),H340),L94)</f>
        <v>-5</v>
      </c>
      <c r="I341" s="242">
        <f>+COS(RADIANS(E341))</f>
        <v>1</v>
      </c>
      <c r="J341" s="242">
        <f>SIN(RADIANS(E341))</f>
        <v>0</v>
      </c>
      <c r="K341" s="228" t="str">
        <f>+IF(OR(D341=0,D341=""),"",IF(MOD(D341,$K$286),_xlfn.FLOOR.MATH(D341/$K$286),_xlfn.FLOOR.MATH(D341/$K$286)-1))</f>
        <v/>
      </c>
      <c r="L341" s="228" t="str">
        <f>+IF(OR(F341=0,F341=""),"",IF(MOD(F341,$K$286),_xlfn.FLOOR.MATH(F341/$K$286),_xlfn.FLOOR.MATH(F341/$K$286)-1))</f>
        <v/>
      </c>
      <c r="M341" s="176">
        <f>+MAX(K341:L341)</f>
        <v>0</v>
      </c>
      <c r="N341" s="198">
        <f>IF(AND(D341=0,F341=0),0,IF(D341&lt;&gt;0,D341/(M341+1),F341/(M341+1)))</f>
        <v>0</v>
      </c>
      <c r="O341" s="40" t="str">
        <f t="shared" si="27"/>
        <v>TOWER</v>
      </c>
      <c r="Q341" s="40" t="str">
        <f t="shared" si="28"/>
        <v>TOWER600.txt</v>
      </c>
      <c r="BB341" s="235">
        <f t="shared" si="29"/>
        <v>0</v>
      </c>
      <c r="BC341" s="235">
        <f t="shared" si="33"/>
        <v>0</v>
      </c>
      <c r="BD341" s="235">
        <f t="shared" si="34"/>
        <v>0</v>
      </c>
      <c r="BE341" s="235">
        <f t="shared" si="35"/>
        <v>0</v>
      </c>
      <c r="BG341" s="21">
        <f t="shared" si="36"/>
        <v>0</v>
      </c>
      <c r="BH341" s="21">
        <f t="shared" si="37"/>
        <v>0</v>
      </c>
      <c r="BI341" s="21">
        <f t="shared" si="38"/>
        <v>0</v>
      </c>
      <c r="BJ341" s="21">
        <f t="shared" si="39"/>
        <v>0</v>
      </c>
      <c r="BQ341" s="221"/>
    </row>
    <row r="342" spans="1:69" ht="15">
      <c r="A342" s="221"/>
      <c r="B342" s="237" t="str">
        <f t="shared" si="20"/>
        <v/>
      </c>
      <c r="C342" s="238" t="str">
        <f t="shared" si="21"/>
        <v/>
      </c>
      <c r="D342" s="239">
        <f t="shared" si="22"/>
        <v>0</v>
      </c>
      <c r="E342" s="240">
        <f t="shared" si="40"/>
        <v>0</v>
      </c>
      <c r="F342" s="241">
        <f>+IF(C342="Loop",SQRT((G342-G341)^2+(H342-H341)^2),0)</f>
        <v>0</v>
      </c>
      <c r="G342" s="239" cm="1">
        <f t="array" ref="G342">IF(K95="", _xlfn.IFS($C342="Angle",(D342*I342)+G341,$C342="Loop",$G$289,$C342="",G341,$C342="End",G341,$C342="&gt;",G341+D342,$C342="&lt;",G341-D342,OR($C342="Λ",$C342="V"),G341), K95)</f>
        <v>3.5</v>
      </c>
      <c r="H342" s="239" cm="1">
        <f t="array" ref="H342">IF(L95="",_xlfn.IFS($C342="Angle",(D342*J342)+H341,$C342="Loop",$H$289,$C342="",H341,$C342="End",H341,$C342="Λ",H341+D342,$C342="V",H341-D342,OR($C342="&lt;",$C342="&gt;"),H341),L95)</f>
        <v>-5</v>
      </c>
      <c r="I342" s="242">
        <f>+COS(RADIANS(E342))</f>
        <v>1</v>
      </c>
      <c r="J342" s="242">
        <f>SIN(RADIANS(E342))</f>
        <v>0</v>
      </c>
      <c r="K342" s="228" t="str">
        <f>+IF(OR(D342=0,D342=""),"",IF(MOD(D342,$K$286),_xlfn.FLOOR.MATH(D342/$K$286),_xlfn.FLOOR.MATH(D342/$K$286)-1))</f>
        <v/>
      </c>
      <c r="L342" s="228" t="str">
        <f>+IF(OR(F342=0,F342=""),"",IF(MOD(F342,$K$286),_xlfn.FLOOR.MATH(F342/$K$286),_xlfn.FLOOR.MATH(F342/$K$286)-1))</f>
        <v/>
      </c>
      <c r="M342" s="176">
        <f>+MAX(K342:L342)</f>
        <v>0</v>
      </c>
      <c r="N342" s="198">
        <f>IF(AND(D342=0,F342=0),0,IF(D342&lt;&gt;0,D342/(M342+1),F342/(M342+1)))</f>
        <v>0</v>
      </c>
      <c r="O342" s="40" t="str">
        <f t="shared" si="27"/>
        <v>TOWER</v>
      </c>
      <c r="Q342" s="40" t="str">
        <f t="shared" si="28"/>
        <v>TOWER600.txt</v>
      </c>
      <c r="BB342" s="235">
        <f t="shared" si="29"/>
        <v>0</v>
      </c>
      <c r="BC342" s="235">
        <f t="shared" si="33"/>
        <v>0</v>
      </c>
      <c r="BD342" s="235">
        <f t="shared" si="34"/>
        <v>0</v>
      </c>
      <c r="BE342" s="235">
        <f t="shared" si="35"/>
        <v>0</v>
      </c>
      <c r="BG342" s="21">
        <f t="shared" si="36"/>
        <v>0</v>
      </c>
      <c r="BH342" s="21">
        <f t="shared" si="37"/>
        <v>0</v>
      </c>
      <c r="BI342" s="21">
        <f t="shared" si="38"/>
        <v>0</v>
      </c>
      <c r="BJ342" s="21">
        <f t="shared" si="39"/>
        <v>0</v>
      </c>
      <c r="BQ342" s="221"/>
    </row>
    <row r="343" spans="1:69" ht="15">
      <c r="A343" s="221"/>
      <c r="B343" s="237" t="str">
        <f t="shared" si="20"/>
        <v/>
      </c>
      <c r="C343" s="238" t="str">
        <f t="shared" si="21"/>
        <v/>
      </c>
      <c r="D343" s="239">
        <f t="shared" si="22"/>
        <v>0</v>
      </c>
      <c r="E343" s="240">
        <f t="shared" si="40"/>
        <v>0</v>
      </c>
      <c r="F343" s="241">
        <f>+IF(C343="Loop",SQRT((G343-G342)^2+(H343-H342)^2),0)</f>
        <v>0</v>
      </c>
      <c r="G343" s="239" cm="1">
        <f t="array" ref="G343">IF(K96="", _xlfn.IFS($C343="Angle",(D343*I343)+G342,$C343="Loop",$G$289,$C343="",G342,$C343="End",G342,$C343="&gt;",G342+D343,$C343="&lt;",G342-D343,OR($C343="Λ",$C343="V"),G342), K96)</f>
        <v>3.5</v>
      </c>
      <c r="H343" s="239" cm="1">
        <f t="array" ref="H343">IF(L96="",_xlfn.IFS($C343="Angle",(D343*J343)+H342,$C343="Loop",$H$289,$C343="",H342,$C343="End",H342,$C343="Λ",H342+D343,$C343="V",H342-D343,OR($C343="&lt;",$C343="&gt;"),H342),L96)</f>
        <v>-5</v>
      </c>
      <c r="I343" s="242">
        <f>+COS(RADIANS(E343))</f>
        <v>1</v>
      </c>
      <c r="J343" s="242">
        <f>SIN(RADIANS(E343))</f>
        <v>0</v>
      </c>
      <c r="K343" s="228" t="str">
        <f>+IF(OR(D343=0,D343=""),"",IF(MOD(D343,$K$286),_xlfn.FLOOR.MATH(D343/$K$286),_xlfn.FLOOR.MATH(D343/$K$286)-1))</f>
        <v/>
      </c>
      <c r="L343" s="228" t="str">
        <f>+IF(OR(F343=0,F343=""),"",IF(MOD(F343,$K$286),_xlfn.FLOOR.MATH(F343/$K$286),_xlfn.FLOOR.MATH(F343/$K$286)-1))</f>
        <v/>
      </c>
      <c r="M343" s="176">
        <f>+MAX(K343:L343)</f>
        <v>0</v>
      </c>
      <c r="N343" s="198">
        <f>IF(AND(D343=0,F343=0),0,IF(D343&lt;&gt;0,D343/(M343+1),F343/(M343+1)))</f>
        <v>0</v>
      </c>
      <c r="O343" s="40" t="str">
        <f t="shared" si="27"/>
        <v>TOWER</v>
      </c>
      <c r="Q343" s="40" t="str">
        <f t="shared" si="28"/>
        <v>TOWER600.txt</v>
      </c>
      <c r="BB343" s="235">
        <f t="shared" si="29"/>
        <v>0</v>
      </c>
      <c r="BC343" s="235">
        <f t="shared" si="33"/>
        <v>0</v>
      </c>
      <c r="BD343" s="235">
        <f t="shared" si="34"/>
        <v>0</v>
      </c>
      <c r="BE343" s="235">
        <f t="shared" si="35"/>
        <v>0</v>
      </c>
      <c r="BG343" s="21">
        <f t="shared" si="36"/>
        <v>0</v>
      </c>
      <c r="BH343" s="21">
        <f t="shared" si="37"/>
        <v>0</v>
      </c>
      <c r="BI343" s="21">
        <f t="shared" si="38"/>
        <v>0</v>
      </c>
      <c r="BJ343" s="21">
        <f t="shared" si="39"/>
        <v>0</v>
      </c>
      <c r="BQ343" s="221"/>
    </row>
    <row r="344" spans="1:69" ht="15">
      <c r="A344" s="221"/>
      <c r="B344" s="237" t="str">
        <f t="shared" si="20"/>
        <v/>
      </c>
      <c r="C344" s="238" t="str">
        <f t="shared" si="21"/>
        <v/>
      </c>
      <c r="D344" s="239">
        <f t="shared" si="22"/>
        <v>0</v>
      </c>
      <c r="E344" s="240">
        <f t="shared" si="40"/>
        <v>0</v>
      </c>
      <c r="F344" s="241">
        <f>+IF(C344="Loop",SQRT((G344-G343)^2+(H344-H343)^2),0)</f>
        <v>0</v>
      </c>
      <c r="G344" s="239" cm="1">
        <f t="array" ref="G344">IF(K97="", _xlfn.IFS($C344="Angle",(D344*I344)+G343,$C344="Loop",$G$289,$C344="",G343,$C344="End",G343,$C344="&gt;",G343+D344,$C344="&lt;",G343-D344,OR($C344="Λ",$C344="V"),G343), K97)</f>
        <v>3.5</v>
      </c>
      <c r="H344" s="239" cm="1">
        <f t="array" ref="H344">IF(L97="",_xlfn.IFS($C344="Angle",(D344*J344)+H343,$C344="Loop",$H$289,$C344="",H343,$C344="End",H343,$C344="Λ",H343+D344,$C344="V",H343-D344,OR($C344="&lt;",$C344="&gt;"),H343),L97)</f>
        <v>-5</v>
      </c>
      <c r="I344" s="242">
        <f>+COS(RADIANS(E344))</f>
        <v>1</v>
      </c>
      <c r="J344" s="242">
        <f>SIN(RADIANS(E344))</f>
        <v>0</v>
      </c>
      <c r="K344" s="228" t="str">
        <f>+IF(OR(D344=0,D344=""),"",IF(MOD(D344,$K$286),_xlfn.FLOOR.MATH(D344/$K$286),_xlfn.FLOOR.MATH(D344/$K$286)-1))</f>
        <v/>
      </c>
      <c r="L344" s="228" t="str">
        <f>+IF(OR(F344=0,F344=""),"",IF(MOD(F344,$K$286),_xlfn.FLOOR.MATH(F344/$K$286),_xlfn.FLOOR.MATH(F344/$K$286)-1))</f>
        <v/>
      </c>
      <c r="M344" s="176">
        <f>+MAX(K344:L344)</f>
        <v>0</v>
      </c>
      <c r="N344" s="198">
        <f>IF(AND(D344=0,F344=0),0,IF(D344&lt;&gt;0,D344/(M344+1),F344/(M344+1)))</f>
        <v>0</v>
      </c>
      <c r="O344" s="40" t="str">
        <f>IF(B344="", O343, O97)</f>
        <v>TOWER</v>
      </c>
      <c r="Q344" s="40" t="str">
        <f t="shared" si="28"/>
        <v>TOWER600.txt</v>
      </c>
      <c r="BB344" s="235">
        <f t="shared" si="29"/>
        <v>0</v>
      </c>
      <c r="BC344" s="235">
        <f t="shared" si="33"/>
        <v>0</v>
      </c>
      <c r="BD344" s="235">
        <f t="shared" si="34"/>
        <v>0</v>
      </c>
      <c r="BE344" s="235">
        <f t="shared" si="35"/>
        <v>0</v>
      </c>
      <c r="BG344" s="21">
        <f t="shared" si="36"/>
        <v>0</v>
      </c>
      <c r="BH344" s="21">
        <f t="shared" si="37"/>
        <v>0</v>
      </c>
      <c r="BI344" s="21">
        <f t="shared" si="38"/>
        <v>0</v>
      </c>
      <c r="BJ344" s="21">
        <f t="shared" si="39"/>
        <v>0</v>
      </c>
      <c r="BQ344" s="221"/>
    </row>
    <row r="345" spans="1:69">
      <c r="A345" s="221"/>
      <c r="B345" s="237" t="str">
        <f t="shared" si="20"/>
        <v/>
      </c>
      <c r="C345" s="222"/>
      <c r="D345" s="222"/>
      <c r="E345" s="222"/>
      <c r="F345" s="222"/>
      <c r="G345" s="243">
        <f>G344</f>
        <v>3.5</v>
      </c>
      <c r="H345" s="243">
        <f>H344</f>
        <v>-5</v>
      </c>
      <c r="I345" s="222"/>
      <c r="J345" s="222"/>
      <c r="K345" s="222"/>
      <c r="L345" s="222"/>
      <c r="M345" s="172"/>
      <c r="O345" s="40" t="str">
        <f>O344</f>
        <v>TOWER</v>
      </c>
      <c r="Q345" s="40" t="str">
        <f t="shared" si="28"/>
        <v>TOWER600.txt</v>
      </c>
      <c r="S345" s="40">
        <v>20</v>
      </c>
      <c r="BB345" s="172"/>
      <c r="BC345" s="172"/>
      <c r="BD345" s="172"/>
      <c r="BE345" s="172"/>
      <c r="BQ345" s="221"/>
    </row>
    <row r="346" spans="1:69">
      <c r="A346" s="221"/>
      <c r="B346" s="222"/>
      <c r="C346" s="222"/>
      <c r="D346" s="222"/>
      <c r="E346" s="222"/>
      <c r="F346" s="222"/>
      <c r="G346" s="222"/>
      <c r="H346" s="222"/>
      <c r="I346" s="222"/>
      <c r="J346" s="222"/>
      <c r="K346" s="222"/>
      <c r="L346" s="222"/>
      <c r="M346" s="172"/>
      <c r="S346" s="40">
        <v>10</v>
      </c>
      <c r="BB346" s="172"/>
      <c r="BC346" s="172"/>
      <c r="BD346" s="172"/>
      <c r="BE346" s="172"/>
      <c r="BQ346" s="221"/>
    </row>
    <row r="347" spans="1:69">
      <c r="A347" s="221"/>
      <c r="B347" s="222"/>
      <c r="C347" s="222"/>
      <c r="D347" s="222"/>
      <c r="E347" s="222"/>
      <c r="F347" s="222"/>
      <c r="G347" s="222"/>
      <c r="H347" s="222"/>
      <c r="I347" s="222"/>
      <c r="J347" s="222"/>
      <c r="K347" s="222"/>
      <c r="L347" s="222"/>
      <c r="M347" s="172"/>
      <c r="BB347" s="172"/>
      <c r="BC347" s="172"/>
      <c r="BD347" s="172"/>
      <c r="BE347" s="172"/>
      <c r="BQ347" s="221"/>
    </row>
    <row r="348" spans="1:69">
      <c r="A348" s="221"/>
      <c r="B348" s="222"/>
      <c r="C348" s="222"/>
      <c r="D348" s="222"/>
      <c r="E348" s="222"/>
      <c r="F348" s="222" t="s">
        <v>214</v>
      </c>
      <c r="G348" s="244">
        <f>MIN(G289:G345)</f>
        <v>0</v>
      </c>
      <c r="H348" s="244">
        <f>MIN(H289:H345)</f>
        <v>-5</v>
      </c>
      <c r="I348" s="222"/>
      <c r="J348" s="244">
        <f>MIN(G348,H348)-1</f>
        <v>-6</v>
      </c>
      <c r="K348" s="222"/>
      <c r="L348" s="222"/>
      <c r="M348" s="172"/>
      <c r="BB348" s="172"/>
      <c r="BC348" s="172"/>
      <c r="BD348" s="172"/>
      <c r="BE348" s="235" t="e">
        <f>MAX(BE290:BE344)</f>
        <v>#DIV/0!</v>
      </c>
      <c r="BG348" s="21">
        <f>MAX(BG290:BG344)</f>
        <v>1</v>
      </c>
      <c r="BH348" s="235" t="e">
        <f>MAX(BH290:BH344)</f>
        <v>#DIV/0!</v>
      </c>
      <c r="BQ348" s="221"/>
    </row>
    <row r="349" spans="1:69">
      <c r="A349" s="221"/>
      <c r="B349" s="222"/>
      <c r="C349" s="222"/>
      <c r="D349" s="222"/>
      <c r="E349" s="222"/>
      <c r="F349" s="222" t="s">
        <v>95</v>
      </c>
      <c r="G349" s="244">
        <f>MAX(G289:G345)</f>
        <v>16</v>
      </c>
      <c r="H349" s="244">
        <f>MAX(H289:H345)</f>
        <v>5</v>
      </c>
      <c r="I349" s="222"/>
      <c r="J349" s="244">
        <f>MAX(G349,H349)+1</f>
        <v>17</v>
      </c>
      <c r="K349" s="222"/>
      <c r="L349" s="222"/>
      <c r="M349" s="172"/>
      <c r="BB349" s="172"/>
      <c r="BC349" s="172"/>
      <c r="BD349" s="172"/>
      <c r="BE349" s="172"/>
      <c r="BQ349" s="221"/>
    </row>
    <row r="350" spans="1:69">
      <c r="A350" s="221"/>
      <c r="B350" s="222"/>
      <c r="C350" s="222"/>
      <c r="D350" s="222"/>
      <c r="E350" s="222"/>
      <c r="F350" s="222"/>
      <c r="G350" s="222"/>
      <c r="H350" s="222"/>
      <c r="I350" s="222"/>
      <c r="J350" s="222"/>
      <c r="K350" s="222"/>
      <c r="L350" s="222"/>
      <c r="M350" s="172"/>
      <c r="S350" s="40" t="s">
        <v>314</v>
      </c>
      <c r="T350" s="40" t="s">
        <v>315</v>
      </c>
      <c r="BB350" s="172"/>
      <c r="BC350" s="172"/>
      <c r="BD350" s="172"/>
      <c r="BE350" s="172"/>
      <c r="BQ350" s="221"/>
    </row>
    <row r="351" spans="1:69">
      <c r="A351" s="221"/>
      <c r="B351" s="221"/>
      <c r="C351" s="221"/>
      <c r="D351" s="221"/>
      <c r="E351" s="221"/>
      <c r="F351" s="221"/>
      <c r="G351" s="221"/>
      <c r="H351" s="221"/>
      <c r="I351" s="221"/>
      <c r="J351" s="221"/>
      <c r="K351" s="221"/>
      <c r="L351" s="221"/>
      <c r="S351" s="40" cm="1">
        <f t="array" ref="S351:S358">+_xlfn.UNIQUE(C43:C97)</f>
        <v>2</v>
      </c>
      <c r="T351" s="40" t="e" cm="1">
        <f t="array" ref="T351">+_xlfn.UNIQUE(#REF!)</f>
        <v>#REF!</v>
      </c>
      <c r="BQ351" s="221"/>
    </row>
    <row r="352" spans="1:69">
      <c r="C352" s="21"/>
      <c r="D352" s="21"/>
      <c r="E352" s="21"/>
      <c r="F352" s="21"/>
      <c r="G352" s="21"/>
      <c r="H352" s="21"/>
      <c r="I352" s="21"/>
      <c r="J352" s="21"/>
      <c r="K352" s="21"/>
      <c r="L352" s="21"/>
      <c r="S352" s="40">
        <v>3</v>
      </c>
    </row>
    <row r="353" spans="3:45">
      <c r="C353" s="21"/>
      <c r="D353" s="21"/>
      <c r="E353" s="21"/>
      <c r="F353" s="21"/>
      <c r="G353" s="21"/>
      <c r="H353" s="21"/>
      <c r="I353" s="21"/>
      <c r="J353" s="21"/>
      <c r="K353" s="21"/>
      <c r="L353" s="21"/>
      <c r="S353" s="40">
        <v>4</v>
      </c>
    </row>
    <row r="354" spans="3:45">
      <c r="C354" s="21"/>
      <c r="D354" s="21"/>
      <c r="E354" s="21"/>
      <c r="F354" s="21"/>
      <c r="G354" s="21"/>
      <c r="H354" s="21"/>
      <c r="I354" s="21"/>
      <c r="J354" s="21"/>
      <c r="K354" s="21"/>
      <c r="L354" s="21"/>
      <c r="S354" s="40">
        <v>5</v>
      </c>
    </row>
    <row r="355" spans="3:45">
      <c r="C355" s="21"/>
      <c r="D355" s="21"/>
      <c r="E355" s="21"/>
      <c r="F355" s="21"/>
      <c r="G355" s="21"/>
      <c r="H355" s="21"/>
      <c r="I355" s="21"/>
      <c r="J355" s="21"/>
      <c r="K355" s="21"/>
      <c r="L355" s="21"/>
      <c r="S355" s="40">
        <v>6</v>
      </c>
    </row>
    <row r="356" spans="3:45">
      <c r="C356" s="21"/>
      <c r="D356" s="21"/>
      <c r="E356" s="21"/>
      <c r="F356" s="21"/>
      <c r="G356" s="21"/>
      <c r="H356" s="21"/>
      <c r="I356" s="21"/>
      <c r="J356" s="21"/>
      <c r="K356" s="21"/>
      <c r="L356" s="21"/>
      <c r="S356" s="40">
        <v>7</v>
      </c>
    </row>
    <row r="357" spans="3:45">
      <c r="C357" s="21"/>
      <c r="D357" s="21"/>
      <c r="E357" s="21"/>
      <c r="F357" s="21"/>
      <c r="G357" s="21"/>
      <c r="H357" s="21"/>
      <c r="I357" s="21"/>
      <c r="J357" s="21"/>
      <c r="K357" s="21"/>
      <c r="L357" s="21"/>
      <c r="S357" s="40">
        <v>0</v>
      </c>
    </row>
    <row r="358" spans="3:45">
      <c r="C358" s="21"/>
      <c r="D358" s="21"/>
      <c r="E358" s="21"/>
      <c r="F358" s="21"/>
      <c r="G358" s="21"/>
      <c r="H358" s="21"/>
      <c r="I358" s="21"/>
      <c r="J358" s="21"/>
      <c r="K358" s="21"/>
      <c r="L358" s="21"/>
      <c r="S358" s="40">
        <v>0</v>
      </c>
    </row>
    <row r="359" spans="3:45">
      <c r="C359" s="21"/>
      <c r="D359" s="21"/>
      <c r="E359" s="21"/>
      <c r="F359" s="21"/>
      <c r="G359" s="21"/>
      <c r="H359" s="21"/>
      <c r="I359" s="21"/>
      <c r="J359" s="21"/>
      <c r="K359" s="21"/>
      <c r="L359" s="21"/>
    </row>
    <row r="360" spans="3:45">
      <c r="C360" s="21"/>
      <c r="D360" s="21"/>
      <c r="E360" s="21"/>
      <c r="F360" s="21"/>
      <c r="G360" s="21"/>
      <c r="H360" s="21"/>
      <c r="I360" s="21"/>
      <c r="J360" s="21"/>
      <c r="K360" s="21"/>
      <c r="L360" s="21"/>
    </row>
    <row r="361" spans="3:45">
      <c r="C361" s="21"/>
      <c r="D361" s="21"/>
      <c r="E361" s="21"/>
      <c r="F361" s="21"/>
      <c r="G361" s="21"/>
      <c r="H361" s="21"/>
      <c r="I361" s="21"/>
      <c r="J361" s="21"/>
      <c r="K361" s="21"/>
      <c r="L361" s="21"/>
    </row>
    <row r="362" spans="3:45" s="88" customFormat="1" ht="12.75">
      <c r="N362" s="53"/>
      <c r="O362" s="53"/>
      <c r="P362" s="53"/>
      <c r="Q362" s="53"/>
      <c r="R362" s="53"/>
      <c r="S362" s="53"/>
      <c r="T362" s="53"/>
      <c r="U362" s="53"/>
      <c r="V362" s="53"/>
      <c r="W362" s="53"/>
      <c r="X362" s="53"/>
      <c r="Y362" s="53"/>
      <c r="Z362" s="53"/>
      <c r="AA362" s="53"/>
      <c r="AB362" s="53"/>
      <c r="AC362" s="53"/>
      <c r="AD362" s="53"/>
      <c r="AE362" s="53"/>
      <c r="AF362" s="53"/>
      <c r="AG362" s="53"/>
      <c r="AH362" s="53"/>
      <c r="AI362" s="53"/>
      <c r="AJ362" s="53"/>
      <c r="AK362" s="53"/>
      <c r="AL362" s="53"/>
      <c r="AM362" s="53"/>
      <c r="AN362" s="53"/>
      <c r="AO362" s="53"/>
      <c r="AP362" s="53"/>
      <c r="AQ362" s="53"/>
      <c r="AR362" s="53"/>
      <c r="AS362" s="53"/>
    </row>
    <row r="363" spans="3:45" s="88" customFormat="1" ht="12.75">
      <c r="N363" s="53"/>
      <c r="O363" s="53"/>
      <c r="P363" s="53"/>
      <c r="Q363" s="53"/>
      <c r="R363" s="53"/>
      <c r="S363" s="53"/>
      <c r="T363" s="53"/>
      <c r="U363" s="53"/>
      <c r="V363" s="53"/>
      <c r="W363" s="53"/>
      <c r="X363" s="53"/>
      <c r="Y363" s="53"/>
      <c r="Z363" s="53"/>
      <c r="AA363" s="53"/>
      <c r="AB363" s="53"/>
      <c r="AC363" s="53"/>
      <c r="AD363" s="53"/>
      <c r="AE363" s="53"/>
      <c r="AF363" s="53"/>
      <c r="AG363" s="53"/>
      <c r="AH363" s="53"/>
      <c r="AI363" s="53"/>
      <c r="AJ363" s="53"/>
      <c r="AK363" s="53"/>
      <c r="AL363" s="53"/>
      <c r="AM363" s="53"/>
      <c r="AN363" s="53"/>
      <c r="AO363" s="53"/>
      <c r="AP363" s="53"/>
      <c r="AQ363" s="53"/>
      <c r="AR363" s="53"/>
      <c r="AS363" s="53"/>
    </row>
    <row r="364" spans="3:45" s="88" customFormat="1" ht="12.75">
      <c r="N364" s="53"/>
      <c r="O364" s="53"/>
      <c r="P364" s="53"/>
      <c r="Q364" s="53"/>
      <c r="R364" s="53"/>
      <c r="S364" s="53"/>
      <c r="T364" s="53"/>
      <c r="U364" s="53"/>
      <c r="V364" s="53"/>
      <c r="W364" s="53"/>
      <c r="X364" s="53"/>
      <c r="Y364" s="53"/>
      <c r="Z364" s="53"/>
      <c r="AA364" s="53"/>
      <c r="AB364" s="53"/>
      <c r="AC364" s="53"/>
      <c r="AD364" s="53"/>
      <c r="AE364" s="53"/>
      <c r="AF364" s="53"/>
      <c r="AG364" s="53"/>
      <c r="AH364" s="53"/>
      <c r="AI364" s="53"/>
      <c r="AJ364" s="53"/>
      <c r="AK364" s="53"/>
      <c r="AL364" s="53"/>
      <c r="AM364" s="53"/>
      <c r="AN364" s="53"/>
      <c r="AO364" s="53"/>
      <c r="AP364" s="53"/>
      <c r="AQ364" s="53"/>
      <c r="AR364" s="53"/>
      <c r="AS364" s="53"/>
    </row>
    <row r="365" spans="3:45" s="88" customFormat="1" ht="12.75">
      <c r="N365" s="53"/>
      <c r="O365" s="53"/>
      <c r="P365" s="53"/>
      <c r="Q365" s="53"/>
      <c r="R365" s="53"/>
      <c r="S365" s="53"/>
      <c r="T365" s="53"/>
      <c r="U365" s="53"/>
      <c r="V365" s="53"/>
      <c r="W365" s="53"/>
      <c r="X365" s="53"/>
      <c r="Y365" s="53"/>
      <c r="Z365" s="53"/>
      <c r="AA365" s="53"/>
      <c r="AB365" s="53"/>
      <c r="AC365" s="53"/>
      <c r="AD365" s="53"/>
      <c r="AE365" s="53"/>
      <c r="AF365" s="53"/>
      <c r="AG365" s="53"/>
      <c r="AH365" s="53"/>
      <c r="AI365" s="53"/>
      <c r="AJ365" s="53"/>
      <c r="AK365" s="53"/>
      <c r="AL365" s="53"/>
      <c r="AM365" s="53"/>
      <c r="AN365" s="53"/>
      <c r="AO365" s="53"/>
      <c r="AP365" s="53"/>
      <c r="AQ365" s="53"/>
      <c r="AR365" s="53"/>
      <c r="AS365" s="53"/>
    </row>
    <row r="366" spans="3:45" s="88" customFormat="1" ht="12.75">
      <c r="N366" s="53"/>
      <c r="O366" s="53"/>
      <c r="P366" s="53"/>
      <c r="Q366" s="53"/>
      <c r="R366" s="53"/>
      <c r="S366" s="53"/>
      <c r="T366" s="53"/>
      <c r="U366" s="53"/>
      <c r="V366" s="53"/>
      <c r="W366" s="53"/>
      <c r="X366" s="53"/>
      <c r="Y366" s="53"/>
      <c r="Z366" s="53"/>
      <c r="AA366" s="53"/>
      <c r="AB366" s="53"/>
      <c r="AC366" s="53"/>
      <c r="AD366" s="53"/>
      <c r="AE366" s="53"/>
      <c r="AF366" s="53"/>
      <c r="AG366" s="53"/>
      <c r="AH366" s="53"/>
      <c r="AI366" s="53"/>
      <c r="AJ366" s="53"/>
      <c r="AK366" s="53"/>
      <c r="AL366" s="53"/>
      <c r="AM366" s="53"/>
      <c r="AN366" s="53"/>
      <c r="AO366" s="53"/>
      <c r="AP366" s="53"/>
      <c r="AQ366" s="53"/>
      <c r="AR366" s="53"/>
      <c r="AS366" s="53"/>
    </row>
  </sheetData>
  <sheetProtection algorithmName="SHA-512" hashValue="4YwiOr3l+G74nvNhPPEL4icLBI33fKyRiYYIz3RnXu9D6MVOHo33D1zkq79jopuwMZMwn+hY1KrI/P/+goOuog==" saltValue="Ukw4pLhE0mNqHykKGvaUzQ==" spinCount="100000" sheet="1" objects="1" scenarios="1" selectLockedCells="1"/>
  <protectedRanges>
    <protectedRange sqref="E7:E11 H14 E14" name="Intervallo1_2"/>
  </protectedRanges>
  <autoFilter ref="B42:L96" xr:uid="{8463E5F9-B03C-445B-8654-58FA779342BC}">
    <filterColumn colId="0">
      <customFilters>
        <customFilter operator="greaterThan" val="0"/>
      </customFilters>
    </filterColumn>
  </autoFilter>
  <mergeCells count="50">
    <mergeCell ref="B20:G20"/>
    <mergeCell ref="E18:F18"/>
    <mergeCell ref="C6:J6"/>
    <mergeCell ref="C7:J7"/>
    <mergeCell ref="C9:D9"/>
    <mergeCell ref="E9:K9"/>
    <mergeCell ref="C11:D11"/>
    <mergeCell ref="E11:F11"/>
    <mergeCell ref="C12:D12"/>
    <mergeCell ref="E12:F12"/>
    <mergeCell ref="C14:D14"/>
    <mergeCell ref="E14:F14"/>
    <mergeCell ref="G14:I14"/>
    <mergeCell ref="B21:C22"/>
    <mergeCell ref="G21:G22"/>
    <mergeCell ref="B23:C23"/>
    <mergeCell ref="B24:C24"/>
    <mergeCell ref="J40:L40"/>
    <mergeCell ref="C31:H31"/>
    <mergeCell ref="B39:F39"/>
    <mergeCell ref="B40:F40"/>
    <mergeCell ref="B41:F41"/>
    <mergeCell ref="J41:L41"/>
    <mergeCell ref="B100:C100"/>
    <mergeCell ref="E100:F100"/>
    <mergeCell ref="B99:C99"/>
    <mergeCell ref="E99:F99"/>
    <mergeCell ref="B103:L103"/>
    <mergeCell ref="B104:C105"/>
    <mergeCell ref="D104:F104"/>
    <mergeCell ref="G104:I104"/>
    <mergeCell ref="J104:L104"/>
    <mergeCell ref="J106:J107"/>
    <mergeCell ref="K106:K107"/>
    <mergeCell ref="L106:L107"/>
    <mergeCell ref="B111:D111"/>
    <mergeCell ref="F111:G111"/>
    <mergeCell ref="B113:E113"/>
    <mergeCell ref="B114:C114"/>
    <mergeCell ref="D114:E114"/>
    <mergeCell ref="F114:G115"/>
    <mergeCell ref="B115:C115"/>
    <mergeCell ref="D115:E115"/>
    <mergeCell ref="C178:I178"/>
    <mergeCell ref="B282:B283"/>
    <mergeCell ref="C147:I147"/>
    <mergeCell ref="D150:G150"/>
    <mergeCell ref="D151:E151"/>
    <mergeCell ref="F151:G151"/>
    <mergeCell ref="C156:I156"/>
  </mergeCells>
  <conditionalFormatting sqref="C290:C344">
    <cfRule type="expression" priority="7">
      <formula>"&lt;"</formula>
    </cfRule>
  </conditionalFormatting>
  <conditionalFormatting sqref="F43 F49:F96">
    <cfRule type="expression" dxfId="7" priority="6">
      <formula>D43&lt;&gt;"Angle"</formula>
    </cfRule>
  </conditionalFormatting>
  <conditionalFormatting sqref="K13:M16">
    <cfRule type="expression" dxfId="6" priority="5">
      <formula>$AC$6="Rbcable"</formula>
    </cfRule>
  </conditionalFormatting>
  <conditionalFormatting sqref="H18:I18">
    <cfRule type="expression" dxfId="5" priority="8">
      <formula>$E$18&lt;&gt;"user"</formula>
    </cfRule>
  </conditionalFormatting>
  <conditionalFormatting sqref="F44:F48">
    <cfRule type="expression" dxfId="4" priority="1">
      <formula>D44&lt;&gt;"Angle"</formula>
    </cfRule>
  </conditionalFormatting>
  <conditionalFormatting sqref="E43 E49:E96">
    <cfRule type="cellIs" dxfId="3" priority="9" operator="greaterThan">
      <formula>$D$23</formula>
    </cfRule>
  </conditionalFormatting>
  <conditionalFormatting sqref="E43:E96">
    <cfRule type="cellIs" dxfId="2" priority="10" operator="equal">
      <formula>""</formula>
    </cfRule>
    <cfRule type="cellIs" dxfId="1" priority="11" operator="greaterThan">
      <formula>$D$23</formula>
    </cfRule>
    <cfRule type="cellIs" dxfId="0" priority="12" operator="lessThan">
      <formula>$D$24</formula>
    </cfRule>
  </conditionalFormatting>
  <dataValidations disablePrompts="1" count="8">
    <dataValidation type="list" allowBlank="1" showInputMessage="1" showErrorMessage="1" sqref="E12:F12" xr:uid="{B62CDCDA-B671-419F-86A2-1C800795402C}">
      <formula1>IF($E$11=$AK$7,$AG$10:$AG$13,$AG$9:$AG$13)</formula1>
    </dataValidation>
    <dataValidation type="list" allowBlank="1" showInputMessage="1" showErrorMessage="1" sqref="D43:D96" xr:uid="{CC06E17C-5763-4C49-8249-3A194CEBB1DD}">
      <formula1>$U$5:$U$9</formula1>
    </dataValidation>
    <dataValidation type="decimal" operator="notEqual" allowBlank="1" showInputMessage="1" showErrorMessage="1" sqref="F53:F96 F43:F51" xr:uid="{147FC3BF-B3E7-49EA-8D27-A43A64C04D9F}">
      <formula1>0</formula1>
    </dataValidation>
    <dataValidation type="list" allowBlank="1" showInputMessage="1" showErrorMessage="1" sqref="E11:F11" xr:uid="{137EB0B4-0B21-454E-9A4D-4F17D93F940B}">
      <formula1>$AK$6:$AK$7</formula1>
    </dataValidation>
    <dataValidation type="list" allowBlank="1" showInputMessage="1" showErrorMessage="1" sqref="AH43:AH96" xr:uid="{686F42E7-980F-4BF9-AA21-6A98D2DA6F07}">
      <formula1>$AG$5:$AG$16</formula1>
    </dataValidation>
    <dataValidation type="list" allowBlank="1" showInputMessage="1" showErrorMessage="1" sqref="AD43:AD95" xr:uid="{EF748434-CE65-41D0-A1F1-D8848B584CF9}">
      <formula1>$Z$4:$Z$11</formula1>
    </dataValidation>
    <dataValidation type="list" allowBlank="1" showInputMessage="1" showErrorMessage="1" sqref="AF43:AF95" xr:uid="{9A6E2462-10BF-4137-B973-87B6A0C0D788}">
      <formula1>"Y,N"</formula1>
    </dataValidation>
    <dataValidation type="list" allowBlank="1" showInputMessage="1" showErrorMessage="1" sqref="AK43" xr:uid="{9BA96AEF-E806-42C4-B562-68681B1B7222}">
      <formula1>$W$5:$W$8</formula1>
    </dataValidation>
  </dataValidations>
  <pageMargins left="0.25" right="0.25" top="0.75" bottom="0.75" header="0.3" footer="0.3"/>
  <pageSetup paperSize="9" scale="10" fitToHeight="0" orientation="portrait" r:id="rId1"/>
  <headerFooter>
    <oddHeader>&amp;L&amp;G</oddHeader>
  </headerFooter>
  <rowBreaks count="1" manualBreakCount="1">
    <brk id="120" max="12" man="1"/>
  </rowBreaks>
  <drawing r:id="rId2"/>
  <legacyDrawing r:id="rId3"/>
  <legacyDrawingHF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35C24-2EF8-45C6-9C49-577C8B96C0F6}">
  <sheetPr codeName="Foglio10"/>
  <dimension ref="B2:O75"/>
  <sheetViews>
    <sheetView workbookViewId="0">
      <selection activeCell="D12" sqref="D12"/>
    </sheetView>
  </sheetViews>
  <sheetFormatPr defaultColWidth="9" defaultRowHeight="12.75"/>
  <cols>
    <col min="2" max="2" width="17.375" customWidth="1"/>
    <col min="6" max="6" width="17.375" customWidth="1"/>
    <col min="7" max="7" width="17" customWidth="1"/>
    <col min="8" max="8" width="9.5" bestFit="1" customWidth="1"/>
    <col min="10" max="10" width="15.5" bestFit="1" customWidth="1"/>
    <col min="11" max="11" width="16.5" customWidth="1"/>
    <col min="12" max="12" width="16.375" bestFit="1" customWidth="1"/>
    <col min="14" max="14" width="11.625" customWidth="1"/>
  </cols>
  <sheetData>
    <row r="2" spans="2:15">
      <c r="D2" t="s">
        <v>316</v>
      </c>
      <c r="E2" t="s">
        <v>317</v>
      </c>
    </row>
    <row r="3" spans="2:15" ht="15">
      <c r="B3" s="33" t="s">
        <v>318</v>
      </c>
      <c r="C3" s="32">
        <v>180</v>
      </c>
      <c r="D3" s="14"/>
      <c r="E3" s="14"/>
      <c r="F3" s="14" t="s">
        <v>109</v>
      </c>
      <c r="G3" s="25" t="s">
        <v>319</v>
      </c>
      <c r="J3" t="s">
        <v>320</v>
      </c>
      <c r="L3" t="str">
        <f>+Trads!$A$345</f>
        <v>ZINCATO A CALDO</v>
      </c>
    </row>
    <row r="4" spans="2:15" ht="15">
      <c r="B4" s="33" t="s">
        <v>321</v>
      </c>
      <c r="C4" s="32">
        <v>90</v>
      </c>
      <c r="D4" s="14"/>
      <c r="E4" s="14"/>
      <c r="F4" s="14" t="s">
        <v>115</v>
      </c>
      <c r="G4" s="25" t="s">
        <v>322</v>
      </c>
      <c r="J4" t="s">
        <v>323</v>
      </c>
      <c r="L4" t="s">
        <v>320</v>
      </c>
    </row>
    <row r="5" spans="2:15" ht="15">
      <c r="B5" s="33" t="s">
        <v>324</v>
      </c>
      <c r="C5" s="32">
        <v>0</v>
      </c>
      <c r="D5" s="14"/>
      <c r="E5" s="14"/>
      <c r="F5" s="14" t="s">
        <v>120</v>
      </c>
      <c r="G5" s="25" t="s">
        <v>325</v>
      </c>
    </row>
    <row r="6" spans="2:15" ht="15">
      <c r="B6" s="33" t="s">
        <v>326</v>
      </c>
      <c r="C6" s="32">
        <v>270</v>
      </c>
      <c r="D6" s="14"/>
      <c r="E6" s="14"/>
      <c r="F6" s="14" t="s">
        <v>327</v>
      </c>
      <c r="J6" s="27"/>
      <c r="O6" t="s">
        <v>328</v>
      </c>
    </row>
    <row r="7" spans="2:15" ht="15">
      <c r="B7" s="36" t="str">
        <f>+Trads!$A$332</f>
        <v>Angolo</v>
      </c>
      <c r="C7" s="37"/>
      <c r="F7" s="14" t="s">
        <v>329</v>
      </c>
      <c r="H7" s="25"/>
      <c r="J7" t="str" cm="1">
        <f t="array" ref="J7:J9">+IF($J$6=Zinc,tower,towera2)</f>
        <v>TOWERA2300</v>
      </c>
      <c r="O7" t="s">
        <v>330</v>
      </c>
    </row>
    <row r="8" spans="2:15" ht="15">
      <c r="B8" s="23" t="str">
        <f>+Trads!$A$331</f>
        <v>Loop</v>
      </c>
      <c r="C8" s="37"/>
      <c r="H8" s="25"/>
      <c r="J8" t="str">
        <v>TOWERA2400</v>
      </c>
    </row>
    <row r="9" spans="2:15" ht="15">
      <c r="B9" s="23" t="str">
        <f>+Trads!$A$330</f>
        <v>Fine</v>
      </c>
      <c r="C9" s="37"/>
      <c r="H9" s="25"/>
      <c r="J9" t="str">
        <v>TOWERA2500</v>
      </c>
      <c r="L9" s="14">
        <f>+Calculator!J7</f>
        <v>0</v>
      </c>
    </row>
    <row r="10" spans="2:15">
      <c r="B10" s="37"/>
      <c r="C10" s="37"/>
      <c r="K10" s="16" t="s">
        <v>331</v>
      </c>
      <c r="L10" s="14">
        <f ca="1">+Calculator!K5</f>
        <v>45209</v>
      </c>
    </row>
    <row r="11" spans="2:15">
      <c r="B11" s="32" t="str">
        <f>+Trads!$A$335</f>
        <v>Partenza</v>
      </c>
      <c r="C11" s="37"/>
      <c r="K11" s="16" t="s">
        <v>42</v>
      </c>
      <c r="L11" s="14">
        <f>+Calculator!F15</f>
        <v>0</v>
      </c>
      <c r="N11" t="s">
        <v>332</v>
      </c>
      <c r="O11" t="str">
        <f>+IF(L9=inoxa2,"PASINT","PASINTA4")</f>
        <v>PASINTA4</v>
      </c>
    </row>
    <row r="12" spans="2:15">
      <c r="B12" s="32"/>
      <c r="C12" s="37"/>
      <c r="N12" t="s">
        <v>333</v>
      </c>
    </row>
    <row r="13" spans="2:15">
      <c r="B13" s="32" t="str">
        <f>+Trads!$A$337</f>
        <v>Da Supporto #</v>
      </c>
      <c r="C13" s="37"/>
      <c r="L13" s="14" t="str" cm="1">
        <f t="array" ref="L13:L14">+IF(L9=inoxa4,PT,TipSys)</f>
        <v>PASSANTE</v>
      </c>
    </row>
    <row r="14" spans="2:15">
      <c r="L14" s="14" t="str">
        <v>NON PASSANTE</v>
      </c>
    </row>
    <row r="16" spans="2:15">
      <c r="L16" s="14" t="str" cm="1">
        <f t="array" aca="1" ref="L16:L17" ca="1">+IF(L10=PT,O11,IntNPT)</f>
        <v>PATROLINT</v>
      </c>
    </row>
    <row r="17" spans="2:12" ht="15">
      <c r="B17" s="34" t="str">
        <f>+Dx</f>
        <v>→ (0°)</v>
      </c>
      <c r="C17" s="34" t="str">
        <f>+down</f>
        <v>↓ (270°)</v>
      </c>
      <c r="D17" s="34" t="str">
        <f>+sx</f>
        <v>← (180°)</v>
      </c>
      <c r="E17" s="34" t="str">
        <f>+up</f>
        <v>↑ (90°)</v>
      </c>
      <c r="G17" s="26" t="s">
        <v>334</v>
      </c>
      <c r="J17" t="str">
        <f>+Trads!$A$348</f>
        <v>Terminali</v>
      </c>
      <c r="L17" s="14" t="str">
        <f ca="1"/>
        <v>PATROLMED</v>
      </c>
    </row>
    <row r="18" spans="2:12" ht="15">
      <c r="B18" s="34" t="str">
        <f>+down</f>
        <v>↓ (270°)</v>
      </c>
      <c r="C18" s="34" t="str">
        <f>+sx</f>
        <v>← (180°)</v>
      </c>
      <c r="D18" s="34" t="str">
        <f>+up</f>
        <v>↑ (90°)</v>
      </c>
      <c r="E18" s="34" t="str">
        <f>+Dx</f>
        <v>→ (0°)</v>
      </c>
      <c r="G18" s="26" t="s">
        <v>335</v>
      </c>
      <c r="J18" t="str">
        <f>+Trads!$A$349</f>
        <v>Tutti i supporti</v>
      </c>
    </row>
    <row r="19" spans="2:12" ht="15">
      <c r="B19" s="34" t="str">
        <f>+up</f>
        <v>↑ (90°)</v>
      </c>
      <c r="C19" s="34" t="str">
        <f>+Dx</f>
        <v>→ (0°)</v>
      </c>
      <c r="D19" s="34" t="str">
        <f>+down</f>
        <v>↓ (270°)</v>
      </c>
      <c r="E19" s="34" t="str">
        <f>+sx</f>
        <v>← (180°)</v>
      </c>
      <c r="G19" s="26" t="s">
        <v>336</v>
      </c>
      <c r="J19" t="str">
        <f>+Trads!$A$350</f>
        <v>n. supporti</v>
      </c>
    </row>
    <row r="20" spans="2:12" ht="15">
      <c r="B20" s="24" t="str">
        <f>+Angle</f>
        <v>Angolo</v>
      </c>
      <c r="C20" s="24" t="str">
        <f>+Angle</f>
        <v>Angolo</v>
      </c>
      <c r="D20" s="24" t="str">
        <f>+Angle</f>
        <v>Angolo</v>
      </c>
      <c r="E20" s="24" t="str">
        <f>+Angle</f>
        <v>Angolo</v>
      </c>
      <c r="G20" s="26" t="s">
        <v>337</v>
      </c>
    </row>
    <row r="21" spans="2:12" ht="15">
      <c r="B21" s="24" t="str">
        <f>Loop</f>
        <v>Loop</v>
      </c>
      <c r="C21" s="24" t="str">
        <f>Loop</f>
        <v>Loop</v>
      </c>
      <c r="D21" s="24" t="str">
        <f>Loop</f>
        <v>Loop</v>
      </c>
      <c r="E21" s="24" t="str">
        <f>Loop</f>
        <v>Loop</v>
      </c>
      <c r="G21" s="26" t="s">
        <v>338</v>
      </c>
    </row>
    <row r="22" spans="2:12" ht="15">
      <c r="B22" s="24" t="str">
        <f>End</f>
        <v>Fine</v>
      </c>
      <c r="C22" s="24" t="str">
        <f>End</f>
        <v>Fine</v>
      </c>
      <c r="D22" s="24" t="str">
        <f>End</f>
        <v>Fine</v>
      </c>
      <c r="E22" s="24" t="str">
        <f>End</f>
        <v>Fine</v>
      </c>
      <c r="G22" s="26" t="s">
        <v>339</v>
      </c>
      <c r="L22" t="s">
        <v>320</v>
      </c>
    </row>
    <row r="23" spans="2:12" ht="15">
      <c r="B23" s="35">
        <v>270</v>
      </c>
      <c r="C23" s="35">
        <v>180</v>
      </c>
      <c r="D23" s="35">
        <v>90</v>
      </c>
      <c r="E23" s="35">
        <v>0</v>
      </c>
      <c r="G23" s="26"/>
      <c r="L23" t="s">
        <v>323</v>
      </c>
    </row>
    <row r="24" spans="2:12" ht="15">
      <c r="B24" s="35">
        <v>90</v>
      </c>
      <c r="C24" s="35">
        <v>0</v>
      </c>
      <c r="D24" s="35">
        <v>270</v>
      </c>
      <c r="E24" s="35">
        <v>180</v>
      </c>
      <c r="G24" s="26"/>
    </row>
    <row r="25" spans="2:12" ht="15">
      <c r="G25" s="26"/>
      <c r="H25" s="29"/>
      <c r="I25" s="29"/>
    </row>
    <row r="26" spans="2:12">
      <c r="B26" t="s">
        <v>340</v>
      </c>
      <c r="C26" t="b">
        <f>+Calculator!L27=SupTabella!B26</f>
        <v>0</v>
      </c>
      <c r="J26" s="14" t="s">
        <v>341</v>
      </c>
    </row>
    <row r="27" spans="2:12">
      <c r="B27" t="s">
        <v>342</v>
      </c>
      <c r="C27" t="b">
        <f>+Calculator!L27=SupTabella!B27</f>
        <v>0</v>
      </c>
      <c r="H27" s="29"/>
      <c r="I27" s="30"/>
      <c r="J27" s="31" t="s">
        <v>343</v>
      </c>
      <c r="K27" s="29"/>
    </row>
    <row r="29" spans="2:12">
      <c r="J29" t="s">
        <v>344</v>
      </c>
    </row>
    <row r="30" spans="2:12">
      <c r="C30" t="s">
        <v>345</v>
      </c>
      <c r="D30" t="s">
        <v>346</v>
      </c>
      <c r="E30" t="s">
        <v>345</v>
      </c>
      <c r="F30" t="s">
        <v>346</v>
      </c>
      <c r="J30" t="s">
        <v>347</v>
      </c>
    </row>
    <row r="31" spans="2:12" ht="15">
      <c r="B31" s="34" t="s">
        <v>318</v>
      </c>
      <c r="C31" s="35">
        <v>90</v>
      </c>
      <c r="D31" s="35">
        <v>270</v>
      </c>
      <c r="E31" s="35">
        <v>90</v>
      </c>
      <c r="F31" s="35">
        <v>270</v>
      </c>
    </row>
    <row r="32" spans="2:12" ht="15">
      <c r="B32" s="34" t="s">
        <v>321</v>
      </c>
      <c r="C32" s="35">
        <v>0</v>
      </c>
      <c r="D32" s="35">
        <v>180</v>
      </c>
      <c r="E32" s="35">
        <v>0</v>
      </c>
      <c r="F32" s="35">
        <v>180</v>
      </c>
    </row>
    <row r="33" spans="2:15" ht="15">
      <c r="B33" s="34" t="s">
        <v>324</v>
      </c>
      <c r="C33" s="35">
        <v>0</v>
      </c>
      <c r="D33" s="35">
        <v>270</v>
      </c>
      <c r="E33" s="35">
        <v>0</v>
      </c>
      <c r="F33" s="35">
        <v>90</v>
      </c>
    </row>
    <row r="34" spans="2:15" ht="15">
      <c r="B34" s="34" t="s">
        <v>326</v>
      </c>
      <c r="C34" s="35">
        <v>180</v>
      </c>
      <c r="D34" s="35">
        <v>0</v>
      </c>
      <c r="E34" s="35">
        <v>180</v>
      </c>
      <c r="F34" s="35">
        <v>0</v>
      </c>
    </row>
    <row r="36" spans="2:15">
      <c r="B36">
        <v>34</v>
      </c>
    </row>
    <row r="39" spans="2:15">
      <c r="B39" s="17"/>
      <c r="C39" s="17"/>
      <c r="D39" s="17"/>
      <c r="E39" s="17"/>
      <c r="F39" s="17"/>
      <c r="G39" s="17"/>
      <c r="H39" s="17"/>
      <c r="I39" s="17"/>
      <c r="J39" s="17"/>
      <c r="K39" s="17"/>
      <c r="L39" s="17"/>
      <c r="M39" s="17"/>
      <c r="N39" s="17"/>
      <c r="O39" s="17"/>
    </row>
    <row r="40" spans="2:15">
      <c r="B40" s="17"/>
      <c r="C40" s="17"/>
      <c r="D40" s="17"/>
      <c r="E40" s="17"/>
      <c r="F40" s="17"/>
      <c r="G40" s="17"/>
      <c r="H40" s="17"/>
      <c r="I40" s="17"/>
      <c r="J40" s="17"/>
      <c r="K40" s="17"/>
      <c r="L40" s="17"/>
      <c r="M40" s="17"/>
      <c r="N40" s="17"/>
      <c r="O40" s="17"/>
    </row>
    <row r="41" spans="2:15">
      <c r="B41" s="17"/>
      <c r="C41" s="17"/>
      <c r="D41" s="17"/>
      <c r="E41" s="17"/>
      <c r="F41" s="17"/>
      <c r="G41" s="17"/>
      <c r="H41" s="17"/>
      <c r="I41" s="17"/>
      <c r="J41" s="17"/>
      <c r="K41" s="17"/>
      <c r="L41" s="17"/>
      <c r="M41" s="17"/>
      <c r="N41" s="17"/>
      <c r="O41" s="17"/>
    </row>
    <row r="42" spans="2:15" ht="14.25">
      <c r="B42" s="303" t="s">
        <v>305</v>
      </c>
      <c r="C42" s="304"/>
      <c r="D42" s="304"/>
      <c r="E42" s="304"/>
      <c r="F42" s="305"/>
      <c r="G42" s="304"/>
      <c r="H42" s="304"/>
      <c r="I42" s="304"/>
      <c r="J42" s="306"/>
      <c r="K42" s="307"/>
      <c r="L42" s="307"/>
      <c r="M42" s="304"/>
      <c r="N42" s="308"/>
      <c r="O42" s="304"/>
    </row>
    <row r="43" spans="2:15" ht="14.25">
      <c r="B43" s="303" t="s">
        <v>29</v>
      </c>
      <c r="C43" s="304"/>
      <c r="D43" s="304"/>
      <c r="E43" s="304"/>
      <c r="F43" s="305"/>
      <c r="G43" s="304"/>
      <c r="H43" s="304"/>
      <c r="I43" s="304"/>
      <c r="J43" s="304"/>
      <c r="K43" s="307"/>
      <c r="L43" s="309" t="s">
        <v>348</v>
      </c>
      <c r="M43" s="304"/>
      <c r="N43" s="308">
        <f>+J49+L59+L53</f>
        <v>5</v>
      </c>
      <c r="O43" s="304"/>
    </row>
    <row r="44" spans="2:15" ht="14.25">
      <c r="B44" s="310"/>
      <c r="C44" s="311"/>
      <c r="D44" s="312"/>
      <c r="E44" s="312"/>
      <c r="F44" s="304"/>
      <c r="G44" s="304"/>
      <c r="H44" s="304"/>
      <c r="I44" s="304"/>
      <c r="J44" s="307"/>
      <c r="K44" s="307"/>
      <c r="L44" s="307"/>
      <c r="M44" s="304"/>
      <c r="N44" s="304"/>
      <c r="O44" s="313"/>
    </row>
    <row r="45" spans="2:15" ht="14.25">
      <c r="B45" s="310"/>
      <c r="C45" s="311"/>
      <c r="D45" s="305"/>
      <c r="E45" s="314"/>
      <c r="F45" s="304"/>
      <c r="G45" s="304"/>
      <c r="H45" s="304"/>
      <c r="I45" s="304"/>
      <c r="J45" s="307"/>
      <c r="K45" s="307"/>
      <c r="L45" s="315">
        <f>IF(Calculator!L35="",M58,IF(N46=FALSE,(M47+N58+N54),M47+N58+N53))</f>
        <v>40</v>
      </c>
      <c r="M45" s="316">
        <f>MAX(Calculator!I190:I253)</f>
        <v>0</v>
      </c>
      <c r="N45" s="304"/>
      <c r="O45" s="313"/>
    </row>
    <row r="46" spans="2:15">
      <c r="B46" s="304"/>
      <c r="C46" s="309"/>
      <c r="D46" s="309"/>
      <c r="E46" s="309"/>
      <c r="F46" s="304"/>
      <c r="G46" s="304"/>
      <c r="H46" s="304"/>
      <c r="I46" s="304"/>
      <c r="J46" s="307"/>
      <c r="K46" s="307"/>
      <c r="L46" s="317">
        <f>IFERROR(+ABS((L47-L45)),M58)</f>
        <v>80</v>
      </c>
      <c r="M46" s="318">
        <f>IF(ABS(M47-M45)&lt;=0.01,L50,ABS(M47-M45))</f>
        <v>0</v>
      </c>
      <c r="N46" s="319" t="b">
        <f>IF(M46&gt;K50,TRUE,FALSE)</f>
        <v>0</v>
      </c>
      <c r="O46" s="313"/>
    </row>
    <row r="47" spans="2:15">
      <c r="B47" s="304"/>
      <c r="C47" s="674" t="s">
        <v>349</v>
      </c>
      <c r="D47" s="674"/>
      <c r="E47" s="309"/>
      <c r="F47" s="304"/>
      <c r="G47" s="304"/>
      <c r="H47" s="304"/>
      <c r="I47" s="304"/>
      <c r="J47" s="307"/>
      <c r="K47" s="320" t="b">
        <f>+L47&lt;0</f>
        <v>1</v>
      </c>
      <c r="L47" s="315">
        <f>IF(Calculator!L35="",-(M58),_xlfn.FLOOR.MATH(IF(N46=FALSE,M47-L54,M47-L53),L56))</f>
        <v>-40</v>
      </c>
      <c r="M47" s="318">
        <f>MIN(Calculator!I190:I253)</f>
        <v>0</v>
      </c>
      <c r="N47" s="304"/>
      <c r="O47" s="313"/>
    </row>
    <row r="48" spans="2:15">
      <c r="B48" s="304"/>
      <c r="C48" s="321" t="s">
        <v>350</v>
      </c>
      <c r="D48" s="321">
        <v>800</v>
      </c>
      <c r="E48" s="322" t="s">
        <v>305</v>
      </c>
      <c r="F48" s="304"/>
      <c r="G48" s="304"/>
      <c r="H48" s="304"/>
      <c r="I48" s="304"/>
      <c r="J48" s="304" t="s">
        <v>351</v>
      </c>
      <c r="K48" s="307"/>
      <c r="L48" s="323"/>
      <c r="M48" s="308"/>
      <c r="N48" s="304"/>
      <c r="O48" s="313"/>
    </row>
    <row r="49" spans="2:15">
      <c r="B49" s="304"/>
      <c r="C49" s="324" t="s">
        <v>352</v>
      </c>
      <c r="D49" s="324">
        <v>800</v>
      </c>
      <c r="E49" s="322" t="s">
        <v>29</v>
      </c>
      <c r="F49" s="304"/>
      <c r="G49" s="304"/>
      <c r="H49" s="304"/>
      <c r="I49" s="325" t="b">
        <f>+J49&lt;0</f>
        <v>1</v>
      </c>
      <c r="J49" s="326">
        <f>IF(Calculator!L35="",-(M58),(_xlfn.FLOOR.MATH(IF(K51=FALSE,J50-L53,J50-L54),L56)))</f>
        <v>-40</v>
      </c>
      <c r="K49" s="317">
        <f>+IFERROR(ABS(J49-L49),M58)</f>
        <v>80</v>
      </c>
      <c r="L49" s="315">
        <f>IF(Calculator!L35="",M58,IF(K51=FALSE,(J50+L58+N53),J50+L58+N54))</f>
        <v>40</v>
      </c>
      <c r="M49" s="308"/>
      <c r="N49" s="304" t="s">
        <v>29</v>
      </c>
      <c r="O49" s="304"/>
    </row>
    <row r="50" spans="2:15">
      <c r="B50" s="304"/>
      <c r="C50" s="304"/>
      <c r="D50" s="304"/>
      <c r="E50" s="322" t="s">
        <v>353</v>
      </c>
      <c r="F50" s="304"/>
      <c r="G50" s="304"/>
      <c r="H50" s="304"/>
      <c r="I50" s="304"/>
      <c r="J50" s="327">
        <f>MIN(Calculator!H190:H253)</f>
        <v>0</v>
      </c>
      <c r="K50" s="318">
        <f>IF(ABS(J50-L50)&lt;=0.1,M46,ABS(J50-L50))</f>
        <v>0</v>
      </c>
      <c r="L50" s="328">
        <f>MAX(Calculator!H190:H253)</f>
        <v>0</v>
      </c>
      <c r="M50" s="304"/>
      <c r="N50" s="308">
        <f>+MAX(K50,M46)</f>
        <v>0</v>
      </c>
      <c r="O50" s="304"/>
    </row>
    <row r="51" spans="2:15">
      <c r="B51" s="304"/>
      <c r="C51" s="304"/>
      <c r="D51" s="304"/>
      <c r="E51" s="304"/>
      <c r="F51" s="304"/>
      <c r="G51" s="304"/>
      <c r="H51" s="304"/>
      <c r="I51" s="309"/>
      <c r="J51" s="304"/>
      <c r="K51" s="329" t="b">
        <f>+K50&gt;M46</f>
        <v>0</v>
      </c>
      <c r="L51" s="307"/>
      <c r="M51" s="304"/>
      <c r="N51" s="304"/>
      <c r="O51" s="304"/>
    </row>
    <row r="52" spans="2:15">
      <c r="B52" s="304"/>
      <c r="C52" s="304"/>
      <c r="D52" s="304"/>
      <c r="E52" s="304"/>
      <c r="F52" s="304"/>
      <c r="G52" s="304"/>
      <c r="H52" s="309"/>
      <c r="I52" s="309"/>
      <c r="J52" s="304"/>
      <c r="K52" s="307"/>
      <c r="L52" s="330">
        <f>+L53*I54</f>
        <v>5</v>
      </c>
      <c r="M52" s="304"/>
      <c r="N52" s="304"/>
      <c r="O52" s="304"/>
    </row>
    <row r="53" spans="2:15">
      <c r="B53" s="304"/>
      <c r="C53" s="304"/>
      <c r="D53" s="304"/>
      <c r="E53" s="304"/>
      <c r="F53" s="304"/>
      <c r="G53" s="304"/>
      <c r="H53" s="309"/>
      <c r="I53" s="309" t="s">
        <v>354</v>
      </c>
      <c r="J53" s="304"/>
      <c r="K53" s="307"/>
      <c r="L53" s="331">
        <v>5</v>
      </c>
      <c r="M53" s="332">
        <f>-L53</f>
        <v>-5</v>
      </c>
      <c r="N53" s="333">
        <f>+L53*O53</f>
        <v>5</v>
      </c>
      <c r="O53" s="304">
        <f>+IF(N50&lt;=M58,1,2)</f>
        <v>1</v>
      </c>
    </row>
    <row r="54" spans="2:15">
      <c r="B54" s="304"/>
      <c r="C54" s="321"/>
      <c r="D54" s="321"/>
      <c r="E54" s="304"/>
      <c r="F54" s="313"/>
      <c r="G54" s="313"/>
      <c r="H54" s="313"/>
      <c r="I54" s="334">
        <f>IF(M46=0,1,K50/M46)</f>
        <v>1</v>
      </c>
      <c r="J54" s="304"/>
      <c r="K54" s="307"/>
      <c r="L54" s="335">
        <f>+L53/I54</f>
        <v>5</v>
      </c>
      <c r="M54" s="332">
        <f>-L54</f>
        <v>-5</v>
      </c>
      <c r="N54" s="333">
        <f>+L54*O53</f>
        <v>5</v>
      </c>
      <c r="O54" s="304"/>
    </row>
    <row r="55" spans="2:15">
      <c r="B55" s="304"/>
      <c r="C55" s="675" t="s">
        <v>355</v>
      </c>
      <c r="D55" s="676"/>
      <c r="E55" s="304"/>
      <c r="F55" s="313"/>
      <c r="G55" s="313"/>
      <c r="H55" s="313"/>
      <c r="I55" s="309" t="s">
        <v>356</v>
      </c>
      <c r="J55" s="304"/>
      <c r="K55" s="307"/>
      <c r="L55" s="307"/>
      <c r="M55" s="304"/>
      <c r="N55" s="304"/>
      <c r="O55" s="304"/>
    </row>
    <row r="56" spans="2:15">
      <c r="B56" s="304"/>
      <c r="C56" s="321" t="s">
        <v>357</v>
      </c>
      <c r="D56" s="336">
        <f>IF(Calculator!Z105="",0,Calculator!Z105)</f>
        <v>0</v>
      </c>
      <c r="E56" s="304"/>
      <c r="F56" s="313"/>
      <c r="G56" s="313"/>
      <c r="H56" s="313"/>
      <c r="I56" s="309"/>
      <c r="J56" s="304"/>
      <c r="K56" s="307" t="s">
        <v>358</v>
      </c>
      <c r="L56" s="331">
        <v>5</v>
      </c>
      <c r="M56" s="304"/>
      <c r="N56" s="304"/>
      <c r="O56" s="304"/>
    </row>
    <row r="57" spans="2:15">
      <c r="B57" s="304"/>
      <c r="C57" s="324" t="s">
        <v>359</v>
      </c>
      <c r="D57" s="337">
        <f>_xlfn.IFNA(VLOOKUP(Calculator!X105,C71:D74,2,FALSE),2)</f>
        <v>2</v>
      </c>
      <c r="E57" s="304"/>
      <c r="F57" s="313"/>
      <c r="G57" s="313"/>
      <c r="H57" s="313"/>
      <c r="I57" s="309"/>
      <c r="J57" s="304"/>
      <c r="K57" s="307"/>
      <c r="L57" s="309"/>
      <c r="M57" s="304" t="b">
        <f>+AND(L58&lt;M58,N58&lt;M58)</f>
        <v>1</v>
      </c>
      <c r="N57" s="304"/>
      <c r="O57" s="304"/>
    </row>
    <row r="58" spans="2:15">
      <c r="B58" s="304"/>
      <c r="C58" s="321" t="s">
        <v>360</v>
      </c>
      <c r="D58" s="338">
        <f>_xlfn.IFNA(VLOOKUP(Calculator!X103,C71:D74,2,FALSE),2)</f>
        <v>2</v>
      </c>
      <c r="E58" s="304"/>
      <c r="F58" s="313"/>
      <c r="G58" s="313"/>
      <c r="H58" s="313"/>
      <c r="I58" s="304"/>
      <c r="J58" s="304"/>
      <c r="K58" s="307"/>
      <c r="L58" s="324">
        <f>+IF(N46=TRUE,ABS(J50-L50)/I54,ABS(J50-L50))</f>
        <v>0</v>
      </c>
      <c r="M58" s="339">
        <v>40</v>
      </c>
      <c r="N58" s="324">
        <f>+IF(K51=TRUE,ABS(M47-M45)*I54,ABS(M47-M45))</f>
        <v>0</v>
      </c>
      <c r="O58" s="304"/>
    </row>
    <row r="59" spans="2:15">
      <c r="B59" s="304"/>
      <c r="C59" s="324"/>
      <c r="D59" s="324"/>
      <c r="E59" s="304"/>
      <c r="F59" s="313"/>
      <c r="G59" s="313"/>
      <c r="H59" s="313"/>
      <c r="I59" s="304"/>
      <c r="J59" s="304"/>
      <c r="K59" s="307"/>
      <c r="L59" s="340">
        <f>IF(M57=TRUE,M58,IF(N46=TRUE,ABS(J50-L50)/I54,ABS(J50-L50)))</f>
        <v>40</v>
      </c>
      <c r="M59" s="304"/>
      <c r="N59" s="340">
        <f>+IF(M57=TRUE,M58,IF(K51=TRUE,ABS(M47-M45)*I54,ABS(M47-M45)))</f>
        <v>40</v>
      </c>
      <c r="O59" s="304"/>
    </row>
    <row r="60" spans="2:15">
      <c r="B60" s="304"/>
      <c r="C60" s="321" t="s">
        <v>17</v>
      </c>
      <c r="D60" s="341">
        <v>-35</v>
      </c>
      <c r="E60" s="304"/>
      <c r="F60" s="313"/>
      <c r="G60" s="313"/>
      <c r="H60" s="313"/>
      <c r="I60" s="309"/>
      <c r="J60" s="304"/>
      <c r="K60" s="307"/>
      <c r="L60" s="342" t="s">
        <v>39</v>
      </c>
      <c r="M60" s="304"/>
      <c r="N60" s="342" t="s">
        <v>40</v>
      </c>
      <c r="O60" s="304"/>
    </row>
    <row r="61" spans="2:15">
      <c r="B61" s="304"/>
      <c r="C61" s="324" t="s">
        <v>18</v>
      </c>
      <c r="D61" s="331">
        <v>60</v>
      </c>
      <c r="E61" s="304"/>
      <c r="F61" s="313"/>
      <c r="G61" s="313"/>
      <c r="H61" s="313"/>
      <c r="I61" s="309"/>
      <c r="J61" s="304"/>
      <c r="K61" s="307"/>
      <c r="L61" s="343">
        <f>+L59/2</f>
        <v>20</v>
      </c>
      <c r="M61" s="304"/>
      <c r="N61" s="343">
        <f>+N59/2</f>
        <v>20</v>
      </c>
      <c r="O61" s="304"/>
    </row>
    <row r="62" spans="2:15">
      <c r="B62" s="304"/>
      <c r="C62" s="321" t="s">
        <v>16</v>
      </c>
      <c r="D62" s="341">
        <v>-40</v>
      </c>
      <c r="E62" s="304"/>
      <c r="F62" s="313"/>
      <c r="G62" s="313"/>
      <c r="H62" s="313"/>
      <c r="I62" s="309"/>
      <c r="J62" s="304"/>
      <c r="K62" s="307"/>
      <c r="L62" s="307"/>
      <c r="M62" s="304"/>
      <c r="N62" s="304"/>
      <c r="O62" s="304"/>
    </row>
    <row r="63" spans="2:15">
      <c r="B63" s="304"/>
      <c r="C63" s="324" t="s">
        <v>15</v>
      </c>
      <c r="D63" s="331">
        <v>25</v>
      </c>
      <c r="E63" s="304"/>
      <c r="F63" s="313"/>
      <c r="G63" s="313"/>
      <c r="H63" s="313"/>
      <c r="I63" s="309"/>
      <c r="J63" s="304"/>
      <c r="K63" s="307"/>
      <c r="L63" s="307"/>
      <c r="M63" s="304"/>
      <c r="N63" s="304"/>
      <c r="O63" s="304"/>
    </row>
    <row r="64" spans="2:15">
      <c r="B64" s="304"/>
      <c r="C64" s="321"/>
      <c r="D64" s="321"/>
      <c r="E64" s="304"/>
      <c r="F64" s="313"/>
      <c r="G64" s="313"/>
      <c r="H64" s="313"/>
      <c r="I64" s="304"/>
      <c r="J64" s="304"/>
      <c r="K64" s="307"/>
      <c r="L64" s="307"/>
      <c r="M64" s="304"/>
      <c r="N64" s="304"/>
      <c r="O64" s="304"/>
    </row>
    <row r="65" spans="2:15">
      <c r="B65" s="304"/>
      <c r="C65" s="324"/>
      <c r="D65" s="324"/>
      <c r="E65" s="304"/>
      <c r="F65" s="313"/>
      <c r="G65" s="313"/>
      <c r="H65" s="313"/>
      <c r="I65" s="304"/>
      <c r="J65" s="304"/>
      <c r="K65" s="307"/>
      <c r="L65" s="307"/>
      <c r="M65" s="304"/>
      <c r="N65" s="304"/>
      <c r="O65" s="304"/>
    </row>
    <row r="66" spans="2:15">
      <c r="B66" s="304"/>
      <c r="C66" s="304"/>
      <c r="D66" s="304"/>
      <c r="E66" s="304"/>
      <c r="F66" s="313"/>
      <c r="G66" s="313"/>
      <c r="H66" s="313"/>
      <c r="I66" s="304"/>
      <c r="J66" s="304"/>
      <c r="K66" s="307"/>
      <c r="L66" s="307"/>
      <c r="M66" s="304"/>
      <c r="N66" s="304"/>
      <c r="O66" s="304"/>
    </row>
    <row r="67" spans="2:15">
      <c r="B67" s="304"/>
      <c r="C67" s="304"/>
      <c r="D67" s="304"/>
      <c r="E67" s="304"/>
      <c r="F67" s="313"/>
      <c r="G67" s="313"/>
      <c r="H67" s="313"/>
      <c r="I67" s="304"/>
      <c r="J67" s="324" t="s">
        <v>15</v>
      </c>
      <c r="K67" s="340">
        <f>IFERROR(+L45,M58)</f>
        <v>40</v>
      </c>
      <c r="L67" s="307"/>
      <c r="M67" s="304"/>
      <c r="N67" s="304"/>
      <c r="O67" s="304"/>
    </row>
    <row r="68" spans="2:15">
      <c r="B68" s="304"/>
      <c r="C68" s="304"/>
      <c r="D68" s="304"/>
      <c r="E68" s="304"/>
      <c r="F68" s="313"/>
      <c r="G68" s="313"/>
      <c r="H68" s="313"/>
      <c r="I68" s="304"/>
      <c r="J68" s="304"/>
      <c r="K68" s="307"/>
      <c r="L68" s="307"/>
      <c r="M68" s="304"/>
      <c r="N68" s="304"/>
      <c r="O68" s="304"/>
    </row>
    <row r="69" spans="2:15">
      <c r="B69" s="304"/>
      <c r="C69" s="304"/>
      <c r="D69" s="304"/>
      <c r="E69" s="304"/>
      <c r="F69" s="313"/>
      <c r="G69" s="313"/>
      <c r="H69" s="313"/>
      <c r="I69" s="304"/>
      <c r="J69" s="304"/>
      <c r="K69" s="307"/>
      <c r="L69" s="307"/>
      <c r="M69" s="304"/>
      <c r="N69" s="304"/>
      <c r="O69" s="304"/>
    </row>
    <row r="70" spans="2:15">
      <c r="B70" s="304"/>
      <c r="C70" s="304"/>
      <c r="D70" s="304"/>
      <c r="E70" s="304"/>
      <c r="F70" s="304"/>
      <c r="G70" s="304"/>
      <c r="H70" s="304"/>
      <c r="I70" s="304"/>
      <c r="J70" s="304"/>
      <c r="K70" s="307"/>
      <c r="L70" s="307"/>
      <c r="M70" s="304"/>
      <c r="N70" s="304"/>
      <c r="O70" s="304"/>
    </row>
    <row r="71" spans="2:15" ht="15">
      <c r="B71" s="304"/>
      <c r="C71" s="344" t="s">
        <v>361</v>
      </c>
      <c r="D71" s="313">
        <v>1</v>
      </c>
      <c r="E71" s="304"/>
      <c r="F71" s="304"/>
      <c r="G71" s="304"/>
      <c r="H71" s="304"/>
      <c r="I71" s="304"/>
      <c r="J71" s="304"/>
      <c r="K71" s="307"/>
      <c r="L71" s="307"/>
      <c r="M71" s="304"/>
      <c r="N71" s="304"/>
      <c r="O71" s="304"/>
    </row>
    <row r="72" spans="2:15" ht="15">
      <c r="B72" s="304"/>
      <c r="C72" s="344" t="s">
        <v>362</v>
      </c>
      <c r="D72" s="313">
        <v>2</v>
      </c>
      <c r="E72" s="304"/>
      <c r="F72" s="304"/>
      <c r="G72" s="304"/>
      <c r="H72" s="304"/>
      <c r="I72" s="304"/>
      <c r="J72" s="304"/>
      <c r="K72" s="307"/>
      <c r="L72" s="307"/>
      <c r="M72" s="304"/>
      <c r="N72" s="304"/>
      <c r="O72" s="304"/>
    </row>
    <row r="73" spans="2:15" ht="15">
      <c r="B73" s="304"/>
      <c r="C73" s="344" t="s">
        <v>363</v>
      </c>
      <c r="D73" s="313">
        <v>3</v>
      </c>
      <c r="E73" s="304"/>
      <c r="F73" s="304"/>
      <c r="G73" s="304"/>
      <c r="H73" s="304"/>
      <c r="I73" s="304"/>
      <c r="J73" s="304"/>
      <c r="K73" s="307"/>
      <c r="L73" s="307"/>
      <c r="M73" s="304"/>
      <c r="N73" s="304"/>
      <c r="O73" s="304"/>
    </row>
    <row r="74" spans="2:15" ht="15">
      <c r="B74" s="304"/>
      <c r="C74" s="344" t="s">
        <v>364</v>
      </c>
      <c r="D74" s="313">
        <v>4</v>
      </c>
      <c r="E74" s="304"/>
      <c r="F74" s="304"/>
      <c r="G74" s="304"/>
      <c r="H74" s="304"/>
      <c r="I74" s="304"/>
      <c r="J74" s="321" t="s">
        <v>16</v>
      </c>
      <c r="K74" s="345">
        <f>IFERROR(L47,0)</f>
        <v>-40</v>
      </c>
      <c r="L74" s="307"/>
      <c r="M74" s="304"/>
      <c r="N74" s="304"/>
      <c r="O74" s="304"/>
    </row>
    <row r="75" spans="2:15">
      <c r="B75" s="304"/>
      <c r="C75" s="304"/>
      <c r="D75" s="304"/>
      <c r="E75" s="304"/>
      <c r="F75" s="321" t="s">
        <v>17</v>
      </c>
      <c r="G75" s="345">
        <f>IFERROR(J49,0)</f>
        <v>-40</v>
      </c>
      <c r="H75" s="324" t="s">
        <v>18</v>
      </c>
      <c r="I75" s="340">
        <f>IFERROR(L49,M58)</f>
        <v>40</v>
      </c>
      <c r="J75" s="304"/>
      <c r="K75" s="307"/>
      <c r="L75" s="307"/>
      <c r="M75" s="304"/>
      <c r="N75" s="304"/>
      <c r="O75" s="304"/>
    </row>
  </sheetData>
  <sheetProtection algorithmName="SHA-512" hashValue="VPd2qkyIfh+mogQAvyJ+sSQOZW3I1Wd4rYe8wi91CaCSftMJOclmeR8cuM6qsT4W//GItWUAH5jZd80aZIK1uQ==" saltValue="HZ9fa8HtpRZNwDuKutgm/A==" spinCount="100000" sheet="1" objects="1" scenarios="1"/>
  <mergeCells count="2">
    <mergeCell ref="C47:D47"/>
    <mergeCell ref="C55:D55"/>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40681-8A76-493A-AD3A-2258A6F74A6F}">
  <sheetPr codeName="Foglio1"/>
  <dimension ref="A1:AG54"/>
  <sheetViews>
    <sheetView topLeftCell="J1" workbookViewId="0">
      <selection activeCell="Q8" sqref="Q8"/>
    </sheetView>
  </sheetViews>
  <sheetFormatPr defaultColWidth="9" defaultRowHeight="12.75"/>
  <cols>
    <col min="1" max="1" width="37.25" bestFit="1" customWidth="1"/>
    <col min="2" max="2" width="30.25" bestFit="1" customWidth="1"/>
    <col min="3" max="3" width="25.5" bestFit="1" customWidth="1"/>
    <col min="7" max="7" width="17.625" bestFit="1" customWidth="1"/>
    <col min="8" max="8" width="11" bestFit="1" customWidth="1"/>
    <col min="9" max="9" width="30.25" bestFit="1" customWidth="1"/>
    <col min="10" max="10" width="25.5" bestFit="1" customWidth="1"/>
    <col min="11" max="11" width="5" bestFit="1" customWidth="1"/>
    <col min="12" max="12" width="31.875" bestFit="1" customWidth="1"/>
    <col min="13" max="13" width="6.5" bestFit="1" customWidth="1"/>
    <col min="14" max="14" width="18.875" customWidth="1"/>
    <col min="15" max="15" width="21.875" customWidth="1"/>
    <col min="16" max="16" width="11.5" customWidth="1"/>
    <col min="17" max="17" width="9" customWidth="1"/>
    <col min="18" max="18" width="10.75" customWidth="1"/>
    <col min="19" max="19" width="8.25" bestFit="1" customWidth="1"/>
    <col min="20" max="20" width="9.875" bestFit="1" customWidth="1"/>
    <col min="21" max="21" width="8.875" bestFit="1" customWidth="1"/>
    <col min="22" max="22" width="7.5" customWidth="1"/>
    <col min="23" max="23" width="9.875" bestFit="1" customWidth="1"/>
    <col min="24" max="24" width="6.375" bestFit="1" customWidth="1"/>
    <col min="25" max="25" width="9.875" bestFit="1" customWidth="1"/>
    <col min="26" max="26" width="9.75" customWidth="1"/>
    <col min="27" max="27" width="11.625" customWidth="1"/>
    <col min="28" max="28" width="7.875" customWidth="1"/>
    <col min="29" max="29" width="11" bestFit="1" customWidth="1"/>
    <col min="30" max="30" width="30.25" bestFit="1" customWidth="1"/>
    <col min="31" max="31" width="25.5" bestFit="1" customWidth="1"/>
    <col min="32" max="32" width="5" bestFit="1" customWidth="1"/>
  </cols>
  <sheetData>
    <row r="1" spans="2:33">
      <c r="N1" s="15" cm="1">
        <f t="array" ref="N1:AG1">+_xlfn.SEQUENCE(,20)</f>
        <v>1</v>
      </c>
      <c r="O1" s="15">
        <v>2</v>
      </c>
      <c r="P1" s="15">
        <v>3</v>
      </c>
      <c r="Q1" s="15">
        <v>4</v>
      </c>
      <c r="R1" s="15">
        <v>5</v>
      </c>
      <c r="S1" s="15">
        <v>6</v>
      </c>
      <c r="T1" s="15">
        <v>7</v>
      </c>
      <c r="U1" s="15">
        <v>8</v>
      </c>
      <c r="V1" s="15">
        <v>9</v>
      </c>
      <c r="W1">
        <v>10</v>
      </c>
      <c r="X1">
        <v>11</v>
      </c>
      <c r="Y1">
        <v>12</v>
      </c>
      <c r="Z1">
        <v>13</v>
      </c>
      <c r="AA1">
        <v>14</v>
      </c>
      <c r="AB1">
        <v>15</v>
      </c>
      <c r="AC1">
        <v>16</v>
      </c>
      <c r="AD1">
        <v>17</v>
      </c>
      <c r="AE1">
        <v>18</v>
      </c>
      <c r="AF1">
        <v>19</v>
      </c>
      <c r="AG1">
        <v>20</v>
      </c>
    </row>
    <row r="2" spans="2:33" ht="25.5">
      <c r="N2" s="15"/>
      <c r="O2" s="15"/>
      <c r="P2" s="15"/>
      <c r="Q2" s="684" t="s">
        <v>365</v>
      </c>
      <c r="R2" s="684"/>
      <c r="S2" s="684" t="s">
        <v>366</v>
      </c>
      <c r="T2" s="684"/>
      <c r="U2" s="255" t="s">
        <v>367</v>
      </c>
      <c r="V2" s="682" t="s">
        <v>368</v>
      </c>
      <c r="W2" s="682"/>
      <c r="X2" s="679" t="s">
        <v>369</v>
      </c>
      <c r="Y2" s="679"/>
      <c r="Z2" s="682" t="s">
        <v>370</v>
      </c>
      <c r="AA2" s="682"/>
      <c r="AB2" s="679" t="s">
        <v>371</v>
      </c>
      <c r="AC2" s="679"/>
    </row>
    <row r="3" spans="2:33" s="252" customFormat="1" ht="27.75" customHeight="1">
      <c r="G3" s="252" t="s">
        <v>372</v>
      </c>
      <c r="I3" s="252" t="s">
        <v>373</v>
      </c>
      <c r="Q3" s="255" t="s">
        <v>374</v>
      </c>
      <c r="R3" s="255" t="s">
        <v>375</v>
      </c>
      <c r="S3" s="255" t="s">
        <v>374</v>
      </c>
      <c r="T3" s="255" t="s">
        <v>375</v>
      </c>
      <c r="V3" s="255" t="s">
        <v>374</v>
      </c>
      <c r="W3" s="255" t="s">
        <v>375</v>
      </c>
      <c r="X3" s="255" t="s">
        <v>374</v>
      </c>
      <c r="Y3" s="255" t="s">
        <v>375</v>
      </c>
      <c r="Z3" s="255" t="s">
        <v>374</v>
      </c>
      <c r="AA3" s="255" t="s">
        <v>375</v>
      </c>
      <c r="AB3" s="255" t="s">
        <v>374</v>
      </c>
      <c r="AC3" s="255" t="s">
        <v>375</v>
      </c>
    </row>
    <row r="4" spans="2:33" ht="14.25">
      <c r="B4" t="str">
        <f>+Trads!$A$17</f>
        <v>PASSANTE</v>
      </c>
      <c r="G4" t="s">
        <v>328</v>
      </c>
      <c r="J4" t="s">
        <v>374</v>
      </c>
      <c r="L4" s="200" t="s">
        <v>109</v>
      </c>
      <c r="N4" s="24" t="s">
        <v>376</v>
      </c>
      <c r="O4" s="35" t="str">
        <f>+Spear</f>
        <v>SPEAR</v>
      </c>
      <c r="P4" s="253" t="e">
        <v>#N/A</v>
      </c>
      <c r="Q4" s="35">
        <v>4</v>
      </c>
      <c r="R4" s="35" t="e">
        <v>#N/A</v>
      </c>
      <c r="S4" s="35">
        <v>15</v>
      </c>
      <c r="T4" s="35" t="e">
        <v>#N/A</v>
      </c>
      <c r="U4" s="254">
        <v>2</v>
      </c>
      <c r="V4" s="246">
        <v>16.5</v>
      </c>
      <c r="W4" s="246" t="e">
        <v>#N/A</v>
      </c>
      <c r="X4" s="246">
        <v>3.26</v>
      </c>
      <c r="Y4" s="246" t="e">
        <v>#N/A</v>
      </c>
      <c r="Z4" s="246">
        <v>8.1999999999999993</v>
      </c>
      <c r="AA4" s="246" t="e">
        <v>#N/A</v>
      </c>
      <c r="AB4" s="246">
        <v>1.26</v>
      </c>
      <c r="AC4" s="246" t="e">
        <v>#N/A</v>
      </c>
    </row>
    <row r="5" spans="2:33" ht="14.25">
      <c r="B5" t="str">
        <f>+Trads!$A$18</f>
        <v>NON PASSANTE</v>
      </c>
      <c r="J5" t="s">
        <v>375</v>
      </c>
      <c r="L5" s="201" t="s">
        <v>115</v>
      </c>
      <c r="N5" s="24" t="s">
        <v>377</v>
      </c>
      <c r="O5" s="35" t="str">
        <f>+Spear</f>
        <v>SPEAR</v>
      </c>
      <c r="P5" s="253" t="str">
        <f>+Spearevo</f>
        <v>SPEAREVO</v>
      </c>
      <c r="Q5" s="35">
        <v>2</v>
      </c>
      <c r="R5" s="35">
        <v>4</v>
      </c>
      <c r="S5" s="35">
        <v>7.5</v>
      </c>
      <c r="T5" s="35">
        <v>15</v>
      </c>
      <c r="U5" s="254">
        <v>2</v>
      </c>
      <c r="V5" s="246">
        <v>17.100000000000001</v>
      </c>
      <c r="W5" s="246">
        <f>+B52</f>
        <v>13.7</v>
      </c>
      <c r="X5" s="246">
        <v>1.44</v>
      </c>
      <c r="Y5" s="246">
        <f>+J51</f>
        <v>3.4</v>
      </c>
      <c r="Z5" s="246">
        <v>12.5</v>
      </c>
      <c r="AA5" s="246">
        <v>5.7</v>
      </c>
      <c r="AB5" s="246">
        <v>0.62</v>
      </c>
      <c r="AC5" s="247">
        <v>1.35</v>
      </c>
    </row>
    <row r="6" spans="2:33" ht="14.25">
      <c r="L6" s="201" t="s">
        <v>120</v>
      </c>
      <c r="N6" s="24" t="s">
        <v>129</v>
      </c>
      <c r="O6" s="35" t="str">
        <f>+Spear</f>
        <v>SPEAR</v>
      </c>
      <c r="P6" s="253" t="str">
        <f>+Spearevo</f>
        <v>SPEAREVO</v>
      </c>
      <c r="Q6" s="35">
        <v>4</v>
      </c>
      <c r="R6" s="35">
        <v>4</v>
      </c>
      <c r="S6" s="35">
        <v>7.5</v>
      </c>
      <c r="T6" s="35">
        <v>15</v>
      </c>
      <c r="U6" s="254">
        <v>2</v>
      </c>
      <c r="V6" s="246">
        <v>18.100000000000001</v>
      </c>
      <c r="W6" s="246">
        <v>14</v>
      </c>
      <c r="X6" s="246">
        <v>1.3</v>
      </c>
      <c r="Y6" s="246">
        <v>3.4</v>
      </c>
      <c r="Z6" s="246">
        <v>14.2</v>
      </c>
      <c r="AA6" s="246">
        <v>5.7</v>
      </c>
      <c r="AB6" s="246">
        <v>0.55000000000000004</v>
      </c>
      <c r="AC6" s="247">
        <v>1.35</v>
      </c>
    </row>
    <row r="7" spans="2:33" ht="14.25">
      <c r="L7" s="200" t="s">
        <v>327</v>
      </c>
      <c r="N7" s="24" t="s">
        <v>135</v>
      </c>
      <c r="O7" s="35" t="s">
        <v>374</v>
      </c>
      <c r="P7" s="253" t="str">
        <f>+Spearevo</f>
        <v>SPEAREVO</v>
      </c>
      <c r="Q7" s="35">
        <v>4</v>
      </c>
      <c r="R7" s="35">
        <v>4</v>
      </c>
      <c r="S7" s="35">
        <v>7.5</v>
      </c>
      <c r="T7" s="35">
        <v>15</v>
      </c>
      <c r="U7" s="254">
        <v>2</v>
      </c>
      <c r="V7" s="246">
        <v>18.100000000000001</v>
      </c>
      <c r="W7" s="246">
        <v>14</v>
      </c>
      <c r="X7" s="246">
        <v>1.3</v>
      </c>
      <c r="Y7" s="246">
        <v>3.4</v>
      </c>
      <c r="Z7" s="246">
        <v>14.2</v>
      </c>
      <c r="AA7" s="246">
        <v>5.7</v>
      </c>
      <c r="AB7" s="246">
        <v>0.55000000000000004</v>
      </c>
      <c r="AC7" s="247">
        <v>1.35</v>
      </c>
    </row>
    <row r="8" spans="2:33" ht="14.25">
      <c r="L8" s="200" t="s">
        <v>129</v>
      </c>
      <c r="N8" s="24" t="s">
        <v>137</v>
      </c>
      <c r="O8" s="35" t="str">
        <f>+Spear</f>
        <v>SPEAR</v>
      </c>
      <c r="P8" s="253" t="str">
        <f>+Spearevo</f>
        <v>SPEAREVO</v>
      </c>
      <c r="Q8" s="35">
        <v>4</v>
      </c>
      <c r="R8" s="35">
        <v>4</v>
      </c>
      <c r="S8" s="35">
        <v>7.5</v>
      </c>
      <c r="T8" s="35">
        <v>15</v>
      </c>
      <c r="U8" s="254">
        <v>2</v>
      </c>
      <c r="V8" s="246">
        <v>18.100000000000001</v>
      </c>
      <c r="W8" s="246">
        <v>14</v>
      </c>
      <c r="X8" s="246">
        <v>1.3</v>
      </c>
      <c r="Y8" s="246">
        <v>3.4</v>
      </c>
      <c r="Z8" s="246">
        <v>14.2</v>
      </c>
      <c r="AA8" s="246">
        <v>5.7</v>
      </c>
      <c r="AB8" s="246">
        <v>0.55000000000000004</v>
      </c>
      <c r="AC8" s="247">
        <v>1.35</v>
      </c>
    </row>
    <row r="9" spans="2:33" ht="14.25">
      <c r="B9" t="str">
        <f>+Trads!$A$19</f>
        <v>LEGNO</v>
      </c>
      <c r="L9" s="200" t="s">
        <v>135</v>
      </c>
      <c r="N9" s="21"/>
    </row>
    <row r="10" spans="2:33">
      <c r="B10" t="str">
        <f>+Trads!$A$20</f>
        <v>CEMENTO</v>
      </c>
      <c r="L10" s="200" t="s">
        <v>137</v>
      </c>
      <c r="N10" s="683" t="s">
        <v>378</v>
      </c>
      <c r="O10" s="683"/>
      <c r="Q10" s="35" t="s">
        <v>365</v>
      </c>
      <c r="S10" s="35" t="s">
        <v>379</v>
      </c>
      <c r="V10" s="677" t="s">
        <v>380</v>
      </c>
      <c r="W10" s="678"/>
      <c r="X10" s="680" t="s">
        <v>381</v>
      </c>
      <c r="Y10" s="681"/>
      <c r="Z10" s="677" t="s">
        <v>382</v>
      </c>
      <c r="AA10" s="678"/>
      <c r="AB10" s="680" t="s">
        <v>381</v>
      </c>
      <c r="AC10" s="681"/>
    </row>
    <row r="11" spans="2:33">
      <c r="B11" t="str">
        <f>+Trads!$A$21</f>
        <v>ACCIAIO</v>
      </c>
      <c r="L11" s="200" t="s">
        <v>140</v>
      </c>
      <c r="N11" s="245">
        <f>+Calculator!F9</f>
        <v>0</v>
      </c>
      <c r="O11" s="245">
        <f>+Calculator!F11</f>
        <v>0</v>
      </c>
      <c r="Q11" s="35">
        <f>IF(O11=Spear,4,5)</f>
        <v>5</v>
      </c>
      <c r="S11" s="35">
        <f>IF(O11=Spear,6,7)</f>
        <v>7</v>
      </c>
      <c r="V11" s="677">
        <f>IF(O11=Spear,9,10)</f>
        <v>10</v>
      </c>
      <c r="W11" s="678"/>
      <c r="X11" s="677">
        <f>IF(O11=Spear,11,12)</f>
        <v>12</v>
      </c>
      <c r="Y11" s="678"/>
      <c r="Z11" s="677">
        <f>IF(O11=Spear,13,14)</f>
        <v>14</v>
      </c>
      <c r="AA11" s="678"/>
      <c r="AB11" s="677">
        <f>IF(O11=Spear,15,16)</f>
        <v>16</v>
      </c>
      <c r="AC11" s="678"/>
    </row>
    <row r="13" spans="2:33">
      <c r="N13" t="s">
        <v>383</v>
      </c>
    </row>
    <row r="14" spans="2:33">
      <c r="N14" s="14" t="e">
        <f>+VLOOKUP(N11,N4:P8,2,FALSE)</f>
        <v>#N/A</v>
      </c>
    </row>
    <row r="15" spans="2:33">
      <c r="N15" s="14" t="str">
        <f>_xlfn.IFNA(VLOOKUP(N11,N4:P8,3,FALSE),"")</f>
        <v/>
      </c>
    </row>
    <row r="28" spans="1:18" ht="14.25">
      <c r="A28" s="40"/>
      <c r="B28" s="40"/>
      <c r="C28" s="40"/>
      <c r="D28" s="40"/>
      <c r="E28" s="40"/>
      <c r="F28" s="40"/>
      <c r="G28" s="144" t="s">
        <v>109</v>
      </c>
      <c r="H28" s="250" t="s">
        <v>126</v>
      </c>
      <c r="I28" s="145"/>
      <c r="J28" s="145"/>
      <c r="K28" s="145"/>
      <c r="L28" s="145"/>
      <c r="M28" s="145"/>
      <c r="N28" s="145"/>
      <c r="O28" s="145"/>
      <c r="P28" s="145"/>
      <c r="Q28" s="145"/>
      <c r="R28" s="145"/>
    </row>
    <row r="29" spans="1:18" ht="14.25">
      <c r="A29" s="40"/>
      <c r="B29" s="40"/>
      <c r="C29" s="40"/>
      <c r="D29" s="40"/>
      <c r="E29" s="40"/>
      <c r="F29" s="40"/>
      <c r="G29" s="250" t="s">
        <v>115</v>
      </c>
      <c r="H29" s="250" t="s">
        <v>126</v>
      </c>
      <c r="I29" s="145"/>
      <c r="J29" s="145"/>
      <c r="K29" s="145"/>
      <c r="L29" s="145"/>
      <c r="M29" s="145"/>
      <c r="N29" s="145"/>
      <c r="O29" s="145"/>
      <c r="P29" s="145"/>
      <c r="Q29" s="145"/>
      <c r="R29" s="145"/>
    </row>
    <row r="30" spans="1:18" ht="14.25">
      <c r="A30" s="248"/>
      <c r="B30" s="248"/>
      <c r="C30" s="248"/>
      <c r="D30" s="248"/>
      <c r="E30" s="40"/>
      <c r="F30" s="40"/>
      <c r="G30" s="250" t="s">
        <v>120</v>
      </c>
      <c r="H30" s="250" t="s">
        <v>126</v>
      </c>
      <c r="I30" s="145"/>
      <c r="J30" s="145"/>
      <c r="K30" s="145"/>
      <c r="L30" s="145"/>
      <c r="M30" s="145"/>
      <c r="N30" s="145"/>
      <c r="O30" s="145"/>
      <c r="P30" s="145"/>
      <c r="Q30" s="145"/>
      <c r="R30" s="145"/>
    </row>
    <row r="31" spans="1:18" ht="14.25">
      <c r="A31" s="248" t="s">
        <v>191</v>
      </c>
      <c r="B31" s="248"/>
      <c r="C31" s="248" t="s">
        <v>192</v>
      </c>
      <c r="D31" s="248"/>
      <c r="E31" s="40"/>
      <c r="F31" s="40"/>
      <c r="G31" s="144" t="s">
        <v>126</v>
      </c>
      <c r="H31" s="250" t="s">
        <v>126</v>
      </c>
      <c r="I31" s="145"/>
      <c r="J31" s="145"/>
      <c r="K31" s="145"/>
      <c r="L31" s="145"/>
      <c r="M31" s="145"/>
      <c r="N31" s="145"/>
      <c r="O31" s="145"/>
      <c r="P31" s="145"/>
      <c r="Q31" s="145"/>
      <c r="R31" s="145"/>
    </row>
    <row r="32" spans="1:18" ht="14.25">
      <c r="A32" s="248" t="s">
        <v>196</v>
      </c>
      <c r="B32" s="248" t="s">
        <v>197</v>
      </c>
      <c r="C32" s="248" t="s">
        <v>198</v>
      </c>
      <c r="D32" s="248"/>
      <c r="E32" s="41"/>
      <c r="F32" s="40"/>
      <c r="G32" s="144" t="s">
        <v>129</v>
      </c>
      <c r="H32" s="250" t="s">
        <v>199</v>
      </c>
      <c r="I32" s="145"/>
      <c r="J32" s="145"/>
      <c r="K32" s="145"/>
      <c r="L32" s="145"/>
      <c r="M32" s="145"/>
      <c r="N32" s="145"/>
      <c r="O32" s="145"/>
      <c r="P32" s="145"/>
      <c r="Q32" s="145"/>
      <c r="R32" s="145"/>
    </row>
    <row r="33" spans="1:18" ht="14.25">
      <c r="A33" s="248">
        <v>15</v>
      </c>
      <c r="B33" s="248">
        <v>16.5</v>
      </c>
      <c r="C33" s="248">
        <v>3.26</v>
      </c>
      <c r="D33" s="248"/>
      <c r="E33" s="40"/>
      <c r="F33" s="40"/>
      <c r="G33" s="144" t="s">
        <v>135</v>
      </c>
      <c r="H33" s="250" t="s">
        <v>199</v>
      </c>
      <c r="I33" s="145"/>
      <c r="J33" s="145"/>
      <c r="K33" s="145"/>
      <c r="L33" s="145"/>
      <c r="M33" s="145"/>
      <c r="N33" s="145"/>
      <c r="O33" s="145"/>
      <c r="P33" s="145"/>
      <c r="Q33" s="145"/>
      <c r="R33" s="145"/>
    </row>
    <row r="34" spans="1:18" ht="14.25">
      <c r="A34" s="248">
        <v>2</v>
      </c>
      <c r="B34" s="248">
        <v>8.1999999999999993</v>
      </c>
      <c r="C34" s="248">
        <v>1.26</v>
      </c>
      <c r="D34" s="248"/>
      <c r="E34" s="40"/>
      <c r="F34" s="40"/>
      <c r="G34" s="144" t="s">
        <v>137</v>
      </c>
      <c r="H34" s="250" t="s">
        <v>199</v>
      </c>
      <c r="I34" s="145"/>
      <c r="J34" s="145"/>
      <c r="K34" s="145"/>
      <c r="L34" s="145"/>
      <c r="M34" s="145"/>
      <c r="N34" s="145"/>
      <c r="O34" s="145"/>
      <c r="P34" s="145"/>
      <c r="Q34" s="145"/>
      <c r="R34" s="145"/>
    </row>
    <row r="35" spans="1:18" ht="14.25">
      <c r="A35" s="248" t="s">
        <v>209</v>
      </c>
      <c r="B35" s="248"/>
      <c r="C35" s="248" t="s">
        <v>210</v>
      </c>
      <c r="D35" s="248"/>
      <c r="E35" s="40"/>
      <c r="F35" s="40"/>
      <c r="G35" s="250" t="s">
        <v>140</v>
      </c>
      <c r="H35" s="250" t="s">
        <v>211</v>
      </c>
      <c r="I35" s="145"/>
      <c r="J35" s="145"/>
      <c r="K35" s="145"/>
      <c r="L35" s="145"/>
      <c r="M35" s="145"/>
      <c r="N35" s="145"/>
      <c r="O35" s="145"/>
      <c r="P35" s="145"/>
      <c r="Q35" s="145"/>
      <c r="R35" s="145"/>
    </row>
    <row r="36" spans="1:18" ht="14.25">
      <c r="A36" s="248" t="s">
        <v>196</v>
      </c>
      <c r="B36" s="248" t="s">
        <v>197</v>
      </c>
      <c r="C36" s="248" t="s">
        <v>198</v>
      </c>
      <c r="D36" s="248"/>
      <c r="E36" s="40"/>
      <c r="F36" s="40"/>
      <c r="G36" s="145"/>
      <c r="H36" s="145"/>
      <c r="I36" s="145"/>
      <c r="J36" s="145"/>
      <c r="K36" s="145"/>
      <c r="L36" s="145"/>
      <c r="M36" s="145"/>
      <c r="N36" s="145"/>
      <c r="O36" s="145"/>
      <c r="P36" s="145"/>
      <c r="Q36" s="145"/>
      <c r="R36" s="145"/>
    </row>
    <row r="37" spans="1:18" ht="14.25">
      <c r="A37" s="248">
        <v>7.5</v>
      </c>
      <c r="B37" s="248">
        <v>17.100000000000001</v>
      </c>
      <c r="C37" s="248">
        <v>1.44</v>
      </c>
      <c r="D37" s="248"/>
      <c r="E37" s="40"/>
      <c r="F37" s="40"/>
      <c r="G37" s="151" t="s">
        <v>95</v>
      </c>
      <c r="H37" s="145"/>
      <c r="I37" s="145"/>
      <c r="J37" s="145"/>
      <c r="K37" s="145"/>
      <c r="L37" s="145"/>
      <c r="M37" s="151" t="s">
        <v>214</v>
      </c>
      <c r="N37" s="145"/>
      <c r="O37" s="145"/>
      <c r="P37" s="145"/>
      <c r="Q37" s="145"/>
      <c r="R37" s="145"/>
    </row>
    <row r="38" spans="1:18" ht="14.25">
      <c r="A38" s="248">
        <v>2</v>
      </c>
      <c r="B38" s="248">
        <v>12.5</v>
      </c>
      <c r="C38" s="248">
        <v>0.62</v>
      </c>
      <c r="D38" s="248"/>
      <c r="E38" s="40"/>
      <c r="F38" s="40"/>
      <c r="G38" s="145"/>
      <c r="H38" s="246" t="s">
        <v>196</v>
      </c>
      <c r="I38" s="246" t="s">
        <v>197</v>
      </c>
      <c r="J38" s="246" t="s">
        <v>198</v>
      </c>
      <c r="K38" s="246" t="s">
        <v>216</v>
      </c>
      <c r="L38" s="145"/>
      <c r="M38" s="247"/>
      <c r="N38" s="247" t="s">
        <v>196</v>
      </c>
      <c r="O38" s="247" t="s">
        <v>197</v>
      </c>
      <c r="P38" s="247" t="s">
        <v>198</v>
      </c>
      <c r="Q38" s="247" t="s">
        <v>216</v>
      </c>
      <c r="R38" s="145"/>
    </row>
    <row r="39" spans="1:18" ht="14.25">
      <c r="A39" s="248" t="s">
        <v>219</v>
      </c>
      <c r="B39" s="248"/>
      <c r="C39" s="248" t="s">
        <v>192</v>
      </c>
      <c r="D39" s="248"/>
      <c r="E39" s="40"/>
      <c r="F39" s="40"/>
      <c r="G39" s="251" t="s">
        <v>126</v>
      </c>
      <c r="H39" s="246">
        <v>15</v>
      </c>
      <c r="I39" s="246">
        <v>16.5</v>
      </c>
      <c r="J39" s="246">
        <v>3.26</v>
      </c>
      <c r="K39" s="246">
        <v>4</v>
      </c>
      <c r="L39" s="145"/>
      <c r="M39" s="247" t="s">
        <v>126</v>
      </c>
      <c r="N39" s="247">
        <f>A34</f>
        <v>2</v>
      </c>
      <c r="O39" s="247">
        <f>B34</f>
        <v>8.1999999999999993</v>
      </c>
      <c r="P39" s="247">
        <f>C34</f>
        <v>1.26</v>
      </c>
      <c r="Q39" s="247">
        <v>4</v>
      </c>
      <c r="R39" s="145"/>
    </row>
    <row r="40" spans="1:18" ht="14.25">
      <c r="A40" s="248" t="s">
        <v>196</v>
      </c>
      <c r="B40" s="248" t="s">
        <v>197</v>
      </c>
      <c r="C40" s="248" t="s">
        <v>198</v>
      </c>
      <c r="D40" s="248"/>
      <c r="E40" s="40"/>
      <c r="F40" s="40"/>
      <c r="G40" s="251" t="s">
        <v>211</v>
      </c>
      <c r="H40" s="246">
        <v>7.5</v>
      </c>
      <c r="I40" s="246">
        <v>17.100000000000001</v>
      </c>
      <c r="J40" s="246">
        <v>1.44</v>
      </c>
      <c r="K40" s="246">
        <v>2</v>
      </c>
      <c r="L40" s="145"/>
      <c r="M40" s="247" t="s">
        <v>211</v>
      </c>
      <c r="N40" s="247">
        <f>A38</f>
        <v>2</v>
      </c>
      <c r="O40" s="247">
        <f>B38</f>
        <v>12.5</v>
      </c>
      <c r="P40" s="247">
        <f>C38</f>
        <v>0.62</v>
      </c>
      <c r="Q40" s="247">
        <v>2</v>
      </c>
      <c r="R40" s="145"/>
    </row>
    <row r="41" spans="1:18" ht="14.25">
      <c r="A41" s="248">
        <v>7.5</v>
      </c>
      <c r="B41" s="248">
        <v>18.100000000000001</v>
      </c>
      <c r="C41" s="248">
        <v>1.3</v>
      </c>
      <c r="D41" s="248"/>
      <c r="E41" s="43"/>
      <c r="F41" s="43"/>
      <c r="G41" s="251" t="s">
        <v>199</v>
      </c>
      <c r="H41" s="246">
        <v>7.5</v>
      </c>
      <c r="I41" s="246">
        <v>18.100000000000001</v>
      </c>
      <c r="J41" s="246">
        <v>1.3</v>
      </c>
      <c r="K41" s="246">
        <v>4</v>
      </c>
      <c r="L41" s="145"/>
      <c r="M41" s="247" t="s">
        <v>199</v>
      </c>
      <c r="N41" s="247">
        <f>A42</f>
        <v>2</v>
      </c>
      <c r="O41" s="247">
        <f>B42</f>
        <v>14.2</v>
      </c>
      <c r="P41" s="247">
        <f>C42</f>
        <v>0.55000000000000004</v>
      </c>
      <c r="Q41" s="247">
        <v>4</v>
      </c>
      <c r="R41" s="145"/>
    </row>
    <row r="42" spans="1:18" ht="14.25">
      <c r="A42" s="248">
        <v>2</v>
      </c>
      <c r="B42" s="248">
        <v>14.2</v>
      </c>
      <c r="C42" s="248">
        <v>0.55000000000000004</v>
      </c>
      <c r="D42" s="248"/>
      <c r="E42" s="40"/>
      <c r="F42" s="40"/>
      <c r="G42" s="145"/>
      <c r="H42" s="145"/>
      <c r="I42" s="145"/>
      <c r="J42" s="145"/>
      <c r="K42" s="145"/>
      <c r="L42" s="156"/>
      <c r="M42" s="145"/>
      <c r="N42" s="145"/>
      <c r="O42" s="145"/>
      <c r="P42" s="145"/>
      <c r="Q42" s="145"/>
      <c r="R42" s="156"/>
    </row>
    <row r="43" spans="1:18" ht="14.25">
      <c r="A43" s="249"/>
      <c r="B43" s="249"/>
      <c r="C43" s="249"/>
      <c r="D43" s="249"/>
      <c r="E43" s="40"/>
      <c r="F43" s="40"/>
      <c r="G43" s="156"/>
      <c r="H43" s="145"/>
      <c r="I43" s="145"/>
      <c r="J43" s="145"/>
      <c r="K43" s="145"/>
      <c r="L43" s="145"/>
      <c r="M43" s="156"/>
      <c r="N43" s="145"/>
      <c r="O43" s="145"/>
      <c r="P43" s="145"/>
      <c r="Q43" s="145"/>
      <c r="R43" s="145"/>
    </row>
    <row r="44" spans="1:18" ht="14.25">
      <c r="A44" s="249"/>
      <c r="B44" s="249"/>
      <c r="C44" s="249"/>
      <c r="D44" s="249"/>
      <c r="E44" s="40"/>
      <c r="F44" s="40"/>
      <c r="G44" s="156"/>
      <c r="H44" s="145"/>
      <c r="I44" s="145"/>
      <c r="J44" s="145"/>
      <c r="K44" s="145"/>
      <c r="L44" s="145"/>
      <c r="M44" s="156"/>
      <c r="N44" s="145"/>
      <c r="O44" s="145"/>
      <c r="P44" s="145"/>
      <c r="Q44" s="145"/>
      <c r="R44" s="145"/>
    </row>
    <row r="45" spans="1:18" ht="14.25">
      <c r="A45" s="249"/>
      <c r="B45" s="249"/>
      <c r="C45" s="249"/>
      <c r="D45" s="249"/>
      <c r="E45" s="40"/>
      <c r="F45" s="40"/>
      <c r="G45" s="156"/>
      <c r="H45" s="145"/>
      <c r="I45" s="145"/>
      <c r="J45" s="145"/>
      <c r="K45" s="158"/>
      <c r="L45" s="158" t="s">
        <v>223</v>
      </c>
      <c r="M45" s="159"/>
      <c r="N45" s="158"/>
      <c r="O45" s="145"/>
      <c r="P45" s="145"/>
      <c r="Q45" s="145"/>
      <c r="R45" s="145"/>
    </row>
    <row r="46" spans="1:18" ht="14.25">
      <c r="A46" s="248"/>
      <c r="B46" s="248"/>
      <c r="C46" s="248"/>
      <c r="D46" s="248"/>
      <c r="E46" s="40"/>
      <c r="F46" s="40"/>
      <c r="G46" s="145"/>
      <c r="H46" s="145"/>
      <c r="I46" s="145"/>
      <c r="J46" s="145"/>
      <c r="K46" s="145"/>
      <c r="L46" s="145"/>
      <c r="M46" s="145"/>
      <c r="N46" s="145"/>
      <c r="O46" s="145"/>
      <c r="P46" s="145"/>
      <c r="Q46" s="145"/>
      <c r="R46" s="145"/>
    </row>
    <row r="47" spans="1:18" ht="14.25">
      <c r="A47" s="248" t="s">
        <v>224</v>
      </c>
      <c r="B47" s="248"/>
      <c r="C47" s="248" t="s">
        <v>192</v>
      </c>
      <c r="D47" s="248"/>
      <c r="E47" s="40"/>
      <c r="F47" s="40"/>
      <c r="G47" s="145"/>
      <c r="H47" s="145"/>
      <c r="I47" s="145"/>
      <c r="J47" s="145"/>
      <c r="K47" s="145"/>
      <c r="L47" s="145"/>
      <c r="M47" s="145"/>
      <c r="N47" s="145"/>
      <c r="O47" s="145"/>
      <c r="P47" s="145"/>
      <c r="Q47" s="145"/>
      <c r="R47" s="145"/>
    </row>
    <row r="48" spans="1:18" ht="14.25">
      <c r="A48" s="248" t="s">
        <v>196</v>
      </c>
      <c r="B48" s="248" t="s">
        <v>197</v>
      </c>
      <c r="C48" s="248" t="s">
        <v>198</v>
      </c>
      <c r="D48" s="248"/>
      <c r="E48" s="40"/>
      <c r="F48" s="40"/>
      <c r="G48" s="145"/>
      <c r="H48" s="145"/>
      <c r="I48" s="145"/>
      <c r="J48" s="145"/>
      <c r="K48" s="145"/>
      <c r="L48" s="145"/>
      <c r="M48" s="145"/>
      <c r="N48" s="145"/>
      <c r="O48" s="145"/>
      <c r="P48" s="145"/>
      <c r="Q48" s="145"/>
      <c r="R48" s="145"/>
    </row>
    <row r="49" spans="1:18" ht="14.25">
      <c r="A49" s="248">
        <v>15</v>
      </c>
      <c r="B49" s="248">
        <v>14</v>
      </c>
      <c r="C49" s="248">
        <v>3.4</v>
      </c>
      <c r="D49" s="248"/>
      <c r="E49" s="40"/>
      <c r="F49" s="40"/>
      <c r="G49" s="246"/>
      <c r="H49" s="246" t="s">
        <v>196</v>
      </c>
      <c r="I49" s="246" t="s">
        <v>197</v>
      </c>
      <c r="J49" s="246" t="s">
        <v>198</v>
      </c>
      <c r="K49" s="246"/>
      <c r="L49" s="145"/>
      <c r="M49" s="247"/>
      <c r="N49" s="247" t="s">
        <v>196</v>
      </c>
      <c r="O49" s="247" t="s">
        <v>197</v>
      </c>
      <c r="P49" s="247" t="s">
        <v>198</v>
      </c>
      <c r="Q49" s="247"/>
      <c r="R49" s="145"/>
    </row>
    <row r="50" spans="1:18" ht="14.25">
      <c r="A50" s="248" t="s">
        <v>227</v>
      </c>
      <c r="B50" s="248"/>
      <c r="C50" s="248" t="s">
        <v>192</v>
      </c>
      <c r="D50" s="248"/>
      <c r="E50" s="40"/>
      <c r="F50" s="40"/>
      <c r="G50" s="246" t="s">
        <v>199</v>
      </c>
      <c r="H50" s="246">
        <v>15</v>
      </c>
      <c r="I50" s="246">
        <v>14</v>
      </c>
      <c r="J50" s="246">
        <v>3.4</v>
      </c>
      <c r="K50" s="246">
        <v>4</v>
      </c>
      <c r="L50" s="145"/>
      <c r="M50" s="247" t="s">
        <v>199</v>
      </c>
      <c r="N50" s="247">
        <v>2</v>
      </c>
      <c r="O50" s="247">
        <v>5.7</v>
      </c>
      <c r="P50" s="247">
        <v>1.35</v>
      </c>
      <c r="Q50" s="247">
        <v>4</v>
      </c>
      <c r="R50" s="145"/>
    </row>
    <row r="51" spans="1:18" ht="14.25">
      <c r="A51" s="248" t="s">
        <v>196</v>
      </c>
      <c r="B51" s="248" t="s">
        <v>197</v>
      </c>
      <c r="C51" s="248" t="s">
        <v>198</v>
      </c>
      <c r="D51" s="248"/>
      <c r="E51" s="40"/>
      <c r="F51" s="40"/>
      <c r="G51" s="246" t="s">
        <v>211</v>
      </c>
      <c r="H51" s="246">
        <v>15</v>
      </c>
      <c r="I51" s="246">
        <v>13.7</v>
      </c>
      <c r="J51" s="246">
        <v>3.4</v>
      </c>
      <c r="K51" s="246">
        <v>4</v>
      </c>
      <c r="L51" s="145"/>
      <c r="M51" s="247" t="s">
        <v>211</v>
      </c>
      <c r="N51" s="247">
        <v>2</v>
      </c>
      <c r="O51" s="247">
        <v>5.7</v>
      </c>
      <c r="P51" s="247">
        <v>1.35</v>
      </c>
      <c r="Q51" s="247">
        <v>4</v>
      </c>
      <c r="R51" s="145"/>
    </row>
    <row r="52" spans="1:18" ht="14.25">
      <c r="A52" s="248">
        <v>15</v>
      </c>
      <c r="B52" s="248">
        <v>13.7</v>
      </c>
      <c r="C52" s="248">
        <v>3.4</v>
      </c>
      <c r="D52" s="248"/>
      <c r="E52" s="40"/>
      <c r="F52" s="40"/>
      <c r="G52" s="145"/>
      <c r="H52" s="145"/>
      <c r="I52" s="145"/>
      <c r="J52" s="145"/>
      <c r="K52" s="145"/>
      <c r="L52" s="145"/>
      <c r="M52" s="145"/>
      <c r="N52" s="145"/>
      <c r="O52" s="145"/>
      <c r="P52" s="145"/>
      <c r="Q52" s="145"/>
      <c r="R52" s="145"/>
    </row>
    <row r="53" spans="1:18" ht="14.25">
      <c r="A53" s="43"/>
      <c r="B53" s="43"/>
      <c r="C53" s="43"/>
      <c r="D53" s="43"/>
      <c r="E53" s="43"/>
      <c r="F53" s="43"/>
      <c r="G53" s="43"/>
      <c r="H53" s="43"/>
      <c r="I53" s="43"/>
      <c r="J53" s="43"/>
      <c r="K53" s="43"/>
      <c r="L53" s="40"/>
      <c r="M53" s="40"/>
      <c r="N53" s="40"/>
      <c r="O53" s="40"/>
      <c r="P53" s="40"/>
      <c r="Q53" s="40"/>
      <c r="R53" s="40"/>
    </row>
    <row r="54" spans="1:18" ht="14.25">
      <c r="A54" s="43"/>
      <c r="B54" s="43"/>
      <c r="C54" s="43"/>
      <c r="D54" s="43"/>
      <c r="E54" s="43"/>
      <c r="F54" s="43"/>
      <c r="G54" s="43"/>
      <c r="H54" s="43"/>
      <c r="I54" s="43"/>
      <c r="J54" s="43"/>
      <c r="K54" s="43"/>
      <c r="L54" s="43"/>
      <c r="M54" s="43"/>
      <c r="N54" s="43"/>
      <c r="O54" s="43"/>
      <c r="P54" s="43"/>
      <c r="Q54" s="43"/>
      <c r="R54" s="43"/>
    </row>
  </sheetData>
  <sheetProtection algorithmName="SHA-512" hashValue="V62fDpgqGXOhp1yal3Iwn0LML5TYweQYqpfaKQU+wVqxI+TbXK96VGcQFkTbCY+12JGv559w+/ggbg2k+La8ww==" saltValue="nyBan645I0AURf7WZqiJhg==" spinCount="100000" sheet="1" objects="1" scenarios="1"/>
  <mergeCells count="15">
    <mergeCell ref="N10:O10"/>
    <mergeCell ref="Q2:R2"/>
    <mergeCell ref="S2:T2"/>
    <mergeCell ref="V2:W2"/>
    <mergeCell ref="X2:Y2"/>
    <mergeCell ref="V10:W10"/>
    <mergeCell ref="X10:Y10"/>
    <mergeCell ref="V11:W11"/>
    <mergeCell ref="X11:Y11"/>
    <mergeCell ref="AB2:AC2"/>
    <mergeCell ref="Z10:AA10"/>
    <mergeCell ref="Z11:AA11"/>
    <mergeCell ref="AB10:AC10"/>
    <mergeCell ref="AB11:AC11"/>
    <mergeCell ref="Z2:AA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67029-6F40-40B3-A56D-44A6F5C62F57}">
  <sheetPr codeName="ShMig">
    <tabColor theme="0"/>
  </sheetPr>
  <dimension ref="A1:N127"/>
  <sheetViews>
    <sheetView topLeftCell="A128" workbookViewId="0">
      <selection activeCell="A147" sqref="A147:XFD350"/>
    </sheetView>
  </sheetViews>
  <sheetFormatPr defaultColWidth="8" defaultRowHeight="14.25"/>
  <cols>
    <col min="1" max="1" width="27.625" style="3" bestFit="1" customWidth="1"/>
    <col min="2" max="2" width="2.875" style="3" bestFit="1" customWidth="1"/>
    <col min="3" max="3" width="19.5" style="3" customWidth="1"/>
    <col min="4" max="4" width="21.5" customWidth="1"/>
    <col min="5" max="5" width="17" customWidth="1"/>
    <col min="7" max="7" width="7.5" customWidth="1"/>
    <col min="8" max="8" width="55.375" bestFit="1" customWidth="1"/>
    <col min="9" max="9" width="9.625" bestFit="1" customWidth="1"/>
    <col min="10" max="11" width="6.875" bestFit="1" customWidth="1"/>
    <col min="12" max="12" width="7" bestFit="1" customWidth="1"/>
    <col min="13" max="13" width="5.5" bestFit="1" customWidth="1"/>
    <col min="14" max="14" width="4" bestFit="1" customWidth="1"/>
    <col min="15" max="16384" width="8" style="10"/>
  </cols>
  <sheetData>
    <row r="1" spans="1:4">
      <c r="A1" s="1"/>
      <c r="B1" s="1"/>
      <c r="C1" s="1"/>
    </row>
    <row r="2" spans="1:4">
      <c r="A2" s="2" t="s">
        <v>384</v>
      </c>
      <c r="B2" s="2">
        <f>+VLOOKUP(Calculator!E5,Dwh_mig!A3:B28,2,FALSE)</f>
        <v>1</v>
      </c>
      <c r="C2" s="3" t="s">
        <v>7311</v>
      </c>
    </row>
    <row r="3" spans="1:4">
      <c r="A3" s="4" t="s" cm="1">
        <v>385</v>
      </c>
      <c r="B3" s="3">
        <v>1</v>
      </c>
      <c r="C3">
        <v>1040</v>
      </c>
      <c r="D3" s="4" t="s" cm="1">
        <v>385</v>
      </c>
    </row>
    <row r="4" spans="1:4">
      <c r="A4" s="5" t="s">
        <v>386</v>
      </c>
      <c r="B4" s="3">
        <v>2</v>
      </c>
      <c r="C4">
        <v>1029</v>
      </c>
      <c r="D4" s="5" t="s">
        <v>387</v>
      </c>
    </row>
    <row r="5" spans="1:4">
      <c r="A5" s="5" t="s">
        <v>388</v>
      </c>
      <c r="B5" s="3">
        <v>3</v>
      </c>
      <c r="C5">
        <v>2052</v>
      </c>
      <c r="D5" s="5" t="s">
        <v>0</v>
      </c>
    </row>
    <row r="6" spans="1:4">
      <c r="A6" s="5" t="s">
        <v>389</v>
      </c>
      <c r="B6" s="3">
        <v>4</v>
      </c>
      <c r="C6">
        <v>1050</v>
      </c>
      <c r="D6" s="5" t="s">
        <v>390</v>
      </c>
    </row>
    <row r="7" spans="1:4">
      <c r="A7" s="5" t="s">
        <v>387</v>
      </c>
      <c r="B7" s="3">
        <v>5</v>
      </c>
      <c r="C7">
        <v>1036</v>
      </c>
      <c r="D7" s="5" t="s">
        <v>391</v>
      </c>
    </row>
    <row r="8" spans="1:4">
      <c r="A8" s="5" t="s">
        <v>392</v>
      </c>
      <c r="B8" s="3">
        <v>6</v>
      </c>
      <c r="C8">
        <v>1041</v>
      </c>
    </row>
    <row r="9" spans="1:4">
      <c r="A9" s="5" t="s">
        <v>393</v>
      </c>
      <c r="B9" s="3">
        <v>7</v>
      </c>
      <c r="C9">
        <v>1032</v>
      </c>
    </row>
    <row r="10" spans="1:4">
      <c r="A10" s="5" t="s">
        <v>0</v>
      </c>
      <c r="B10" s="3">
        <v>8</v>
      </c>
      <c r="C10">
        <v>1033</v>
      </c>
    </row>
    <row r="11" spans="1:4">
      <c r="A11" s="5" t="s">
        <v>394</v>
      </c>
      <c r="B11" s="3">
        <v>9</v>
      </c>
      <c r="C11">
        <v>1062</v>
      </c>
    </row>
    <row r="12" spans="1:4">
      <c r="A12" s="5" t="s">
        <v>395</v>
      </c>
      <c r="B12" s="3">
        <v>10</v>
      </c>
      <c r="C12">
        <v>1045</v>
      </c>
    </row>
    <row r="13" spans="1:4">
      <c r="A13" s="5" t="s">
        <v>396</v>
      </c>
      <c r="B13" s="3">
        <v>11</v>
      </c>
      <c r="C13">
        <v>2070</v>
      </c>
    </row>
    <row r="14" spans="1:4">
      <c r="A14" s="5" t="s">
        <v>397</v>
      </c>
      <c r="B14" s="3">
        <v>12</v>
      </c>
      <c r="C14">
        <v>1048</v>
      </c>
    </row>
    <row r="15" spans="1:4">
      <c r="A15" s="5" t="s">
        <v>398</v>
      </c>
      <c r="B15" s="3">
        <v>13</v>
      </c>
      <c r="C15">
        <v>1049</v>
      </c>
    </row>
    <row r="16" spans="1:4">
      <c r="A16" s="5" t="s">
        <v>399</v>
      </c>
      <c r="B16" s="3">
        <v>14</v>
      </c>
      <c r="C16">
        <v>1051</v>
      </c>
    </row>
    <row r="17" spans="1:3">
      <c r="A17" s="5" t="s">
        <v>400</v>
      </c>
      <c r="B17" s="3">
        <v>15</v>
      </c>
      <c r="C17">
        <v>1060</v>
      </c>
    </row>
    <row r="18" spans="1:3">
      <c r="A18" s="5" t="s">
        <v>390</v>
      </c>
      <c r="B18" s="3">
        <v>16</v>
      </c>
      <c r="C18">
        <v>1034</v>
      </c>
    </row>
    <row r="19" spans="1:3">
      <c r="A19" s="5" t="s">
        <v>401</v>
      </c>
      <c r="B19" s="3">
        <v>17</v>
      </c>
      <c r="C19">
        <v>1053</v>
      </c>
    </row>
    <row r="20" spans="1:3">
      <c r="A20" s="5" t="s">
        <v>391</v>
      </c>
      <c r="B20" s="3">
        <v>18</v>
      </c>
      <c r="C20">
        <v>1031</v>
      </c>
    </row>
    <row r="21" spans="1:3">
      <c r="A21" s="5" t="s">
        <v>402</v>
      </c>
      <c r="B21" s="3">
        <v>19</v>
      </c>
      <c r="C21">
        <v>1055</v>
      </c>
    </row>
    <row r="22" spans="1:3">
      <c r="A22" s="5" t="s">
        <v>403</v>
      </c>
      <c r="B22" s="3">
        <v>20</v>
      </c>
      <c r="C22">
        <v>1038</v>
      </c>
    </row>
    <row r="23" spans="1:3">
      <c r="A23" s="5" t="s">
        <v>404</v>
      </c>
      <c r="B23" s="3">
        <v>11</v>
      </c>
      <c r="C23">
        <v>2070</v>
      </c>
    </row>
    <row r="24" spans="1:3">
      <c r="A24" s="5" t="s">
        <v>405</v>
      </c>
      <c r="B24" s="3">
        <v>22</v>
      </c>
      <c r="C24" s="7"/>
    </row>
    <row r="25" spans="1:3">
      <c r="A25" s="5" t="s">
        <v>405</v>
      </c>
      <c r="B25" s="3">
        <v>23</v>
      </c>
      <c r="C25" s="7"/>
    </row>
    <row r="26" spans="1:3">
      <c r="A26" s="5" t="s">
        <v>405</v>
      </c>
      <c r="B26" s="3">
        <v>24</v>
      </c>
      <c r="C26" s="7"/>
    </row>
    <row r="27" spans="1:3">
      <c r="A27" s="6" t="s">
        <v>405</v>
      </c>
      <c r="B27" s="3">
        <v>25</v>
      </c>
      <c r="C27" s="7"/>
    </row>
    <row r="28" spans="1:3">
      <c r="A28" s="6" t="s">
        <v>405</v>
      </c>
      <c r="B28" s="3">
        <v>26</v>
      </c>
      <c r="C28" s="7"/>
    </row>
    <row r="29" spans="1:3">
      <c r="A29" s="6" t="s">
        <v>405</v>
      </c>
      <c r="B29" s="6"/>
      <c r="C29" s="7"/>
    </row>
    <row r="30" spans="1:3">
      <c r="A30" s="6" t="s">
        <v>405</v>
      </c>
      <c r="B30" s="6"/>
      <c r="C30" s="7"/>
    </row>
    <row r="31" spans="1:3">
      <c r="A31" s="6" t="s">
        <v>405</v>
      </c>
      <c r="B31" s="6"/>
      <c r="C31" s="7"/>
    </row>
    <row r="32" spans="1:3">
      <c r="A32" s="6" t="s">
        <v>405</v>
      </c>
      <c r="B32" s="6"/>
      <c r="C32" s="7"/>
    </row>
    <row r="33" spans="1:3">
      <c r="A33" s="6" t="s">
        <v>405</v>
      </c>
      <c r="B33" s="6"/>
    </row>
    <row r="34" spans="1:3">
      <c r="A34" s="6" t="s">
        <v>405</v>
      </c>
      <c r="B34" s="6"/>
    </row>
    <row r="35" spans="1:3">
      <c r="A35" s="6" t="s">
        <v>405</v>
      </c>
      <c r="B35" s="6"/>
    </row>
    <row r="36" spans="1:3">
      <c r="A36" s="6" t="s">
        <v>405</v>
      </c>
      <c r="B36" s="6"/>
    </row>
    <row r="37" spans="1:3">
      <c r="A37" s="6" t="s">
        <v>405</v>
      </c>
      <c r="B37" s="6"/>
    </row>
    <row r="38" spans="1:3">
      <c r="A38" s="6"/>
      <c r="B38" s="6"/>
    </row>
    <row r="39" spans="1:3">
      <c r="A39" s="6"/>
      <c r="B39" s="6"/>
    </row>
    <row r="40" spans="1:3">
      <c r="A40" s="6"/>
      <c r="C40" s="6"/>
    </row>
    <row r="41" spans="1:3">
      <c r="A41" s="6"/>
      <c r="B41" s="8"/>
      <c r="C41" s="6"/>
    </row>
    <row r="42" spans="1:3">
      <c r="A42" s="6"/>
      <c r="B42" s="8"/>
      <c r="C42" s="6"/>
    </row>
    <row r="43" spans="1:3">
      <c r="A43" s="6"/>
      <c r="B43" s="8"/>
      <c r="C43" s="6"/>
    </row>
    <row r="44" spans="1:3">
      <c r="A44" s="6"/>
      <c r="B44" s="8"/>
      <c r="C44" s="6"/>
    </row>
    <row r="45" spans="1:3">
      <c r="A45" s="6"/>
      <c r="B45" s="8"/>
      <c r="C45" s="6"/>
    </row>
    <row r="46" spans="1:3">
      <c r="A46" s="6"/>
      <c r="B46" s="8"/>
      <c r="C46" s="6"/>
    </row>
    <row r="47" spans="1:3">
      <c r="A47" s="6"/>
      <c r="B47" s="8"/>
      <c r="C47" s="6"/>
    </row>
    <row r="48" spans="1:3">
      <c r="A48" s="6"/>
      <c r="B48" s="8"/>
      <c r="C48" s="6"/>
    </row>
    <row r="49" spans="1:3">
      <c r="A49" s="6"/>
      <c r="B49"/>
      <c r="C49" s="6"/>
    </row>
    <row r="50" spans="1:3">
      <c r="A50" s="6"/>
      <c r="B50"/>
      <c r="C50" s="6"/>
    </row>
    <row r="51" spans="1:3">
      <c r="A51" s="6"/>
      <c r="B51" s="8"/>
      <c r="C51" s="6"/>
    </row>
    <row r="52" spans="1:3">
      <c r="A52" s="6"/>
      <c r="B52" s="8"/>
      <c r="C52" s="6"/>
    </row>
    <row r="53" spans="1:3">
      <c r="A53" s="6"/>
      <c r="B53" s="8"/>
      <c r="C53" s="6"/>
    </row>
    <row r="54" spans="1:3">
      <c r="A54" s="6"/>
      <c r="B54" s="8"/>
      <c r="C54" s="6"/>
    </row>
    <row r="55" spans="1:3">
      <c r="A55" s="6"/>
      <c r="C55" s="6"/>
    </row>
    <row r="56" spans="1:3">
      <c r="A56" s="6"/>
      <c r="C56" s="6"/>
    </row>
    <row r="57" spans="1:3">
      <c r="A57" s="6"/>
      <c r="C57" s="6"/>
    </row>
    <row r="58" spans="1:3">
      <c r="A58" s="6"/>
      <c r="B58" s="8"/>
      <c r="C58" s="6"/>
    </row>
    <row r="59" spans="1:3">
      <c r="A59" s="6"/>
      <c r="B59" s="8"/>
      <c r="C59" s="6"/>
    </row>
    <row r="60" spans="1:3">
      <c r="A60" s="6"/>
      <c r="B60" s="8"/>
      <c r="C60" s="6"/>
    </row>
    <row r="61" spans="1:3">
      <c r="A61" s="6"/>
      <c r="B61" s="8"/>
      <c r="C61" s="6"/>
    </row>
    <row r="62" spans="1:3">
      <c r="A62" s="6"/>
      <c r="B62" s="8"/>
      <c r="C62" s="6"/>
    </row>
    <row r="63" spans="1:3">
      <c r="A63" s="6"/>
      <c r="B63" s="8"/>
      <c r="C63" s="6"/>
    </row>
    <row r="64" spans="1:3">
      <c r="A64" s="6"/>
      <c r="B64" s="8"/>
      <c r="C64" s="6"/>
    </row>
    <row r="65" spans="1:3">
      <c r="A65" s="6"/>
      <c r="B65" s="9"/>
      <c r="C65" s="6"/>
    </row>
    <row r="66" spans="1:3">
      <c r="A66" s="6"/>
      <c r="B66" s="8"/>
      <c r="C66" s="6"/>
    </row>
    <row r="67" spans="1:3">
      <c r="A67" s="6"/>
      <c r="B67" s="8"/>
      <c r="C67" s="6"/>
    </row>
    <row r="68" spans="1:3">
      <c r="A68" s="6"/>
      <c r="B68" s="8"/>
      <c r="C68" s="6"/>
    </row>
    <row r="69" spans="1:3">
      <c r="A69" s="6"/>
      <c r="B69" s="8"/>
      <c r="C69" s="6"/>
    </row>
    <row r="70" spans="1:3">
      <c r="A70" s="6"/>
      <c r="B70" s="8"/>
      <c r="C70" s="6"/>
    </row>
    <row r="71" spans="1:3">
      <c r="A71" s="6"/>
      <c r="B71" s="9"/>
      <c r="C71" s="6"/>
    </row>
    <row r="72" spans="1:3">
      <c r="A72" s="6"/>
      <c r="B72" s="9"/>
      <c r="C72" s="6"/>
    </row>
    <row r="73" spans="1:3">
      <c r="A73" s="6"/>
      <c r="C73" s="6"/>
    </row>
    <row r="74" spans="1:3">
      <c r="A74" s="6"/>
      <c r="C74" s="6"/>
    </row>
    <row r="75" spans="1:3">
      <c r="A75" s="6"/>
      <c r="C75" s="6"/>
    </row>
    <row r="76" spans="1:3">
      <c r="A76" s="6"/>
      <c r="C76" s="6"/>
    </row>
    <row r="77" spans="1:3">
      <c r="A77" s="6"/>
      <c r="C77" s="6"/>
    </row>
    <row r="78" spans="1:3">
      <c r="A78" s="6"/>
      <c r="C78" s="6"/>
    </row>
    <row r="79" spans="1:3">
      <c r="A79" s="6"/>
      <c r="C79" s="6"/>
    </row>
    <row r="80" spans="1:3">
      <c r="A80" s="6"/>
      <c r="C80" s="6"/>
    </row>
    <row r="81" spans="1:3">
      <c r="A81" s="6"/>
      <c r="C81" s="6"/>
    </row>
    <row r="82" spans="1:3">
      <c r="A82" s="6"/>
      <c r="C82" s="6"/>
    </row>
    <row r="83" spans="1:3">
      <c r="A83" s="6"/>
      <c r="C83" s="6"/>
    </row>
    <row r="84" spans="1:3">
      <c r="A84" s="6"/>
      <c r="C84" s="6"/>
    </row>
    <row r="85" spans="1:3">
      <c r="A85" s="6"/>
      <c r="C85" s="6"/>
    </row>
    <row r="86" spans="1:3">
      <c r="A86" s="6"/>
      <c r="C86" s="6"/>
    </row>
    <row r="87" spans="1:3">
      <c r="A87" s="6"/>
      <c r="C87" s="6"/>
    </row>
    <row r="88" spans="1:3">
      <c r="A88" s="6"/>
      <c r="C88" s="6"/>
    </row>
    <row r="89" spans="1:3">
      <c r="C89" s="6"/>
    </row>
    <row r="90" spans="1:3">
      <c r="C90" s="6"/>
    </row>
    <row r="91" spans="1:3">
      <c r="C91" s="6"/>
    </row>
    <row r="92" spans="1:3">
      <c r="C92" s="6"/>
    </row>
    <row r="93" spans="1:3">
      <c r="C93" s="6"/>
    </row>
    <row r="94" spans="1:3">
      <c r="C94" s="6"/>
    </row>
    <row r="95" spans="1:3">
      <c r="C95" s="6"/>
    </row>
    <row r="96" spans="1:3">
      <c r="C96" s="6"/>
    </row>
    <row r="97" spans="3:3">
      <c r="C97" s="6"/>
    </row>
    <row r="98" spans="3:3">
      <c r="C98" s="6"/>
    </row>
    <row r="99" spans="3:3">
      <c r="C99" s="6"/>
    </row>
    <row r="100" spans="3:3">
      <c r="C100" s="6"/>
    </row>
    <row r="101" spans="3:3">
      <c r="C101" s="6"/>
    </row>
    <row r="102" spans="3:3">
      <c r="C102" s="6"/>
    </row>
    <row r="103" spans="3:3">
      <c r="C103" s="6"/>
    </row>
    <row r="104" spans="3:3">
      <c r="C104" s="6"/>
    </row>
    <row r="105" spans="3:3">
      <c r="C105" s="6"/>
    </row>
    <row r="106" spans="3:3">
      <c r="C106" s="6"/>
    </row>
    <row r="107" spans="3:3">
      <c r="C107" s="6"/>
    </row>
    <row r="108" spans="3:3">
      <c r="C108" s="6"/>
    </row>
    <row r="109" spans="3:3">
      <c r="C109" s="6"/>
    </row>
    <row r="110" spans="3:3">
      <c r="C110" s="6"/>
    </row>
    <row r="111" spans="3:3">
      <c r="C111" s="6"/>
    </row>
    <row r="112" spans="3:3">
      <c r="C112" s="6"/>
    </row>
    <row r="113" spans="3:3">
      <c r="C113" s="6"/>
    </row>
    <row r="114" spans="3:3">
      <c r="C114" s="6"/>
    </row>
    <row r="115" spans="3:3">
      <c r="C115" s="6"/>
    </row>
    <row r="116" spans="3:3">
      <c r="C116" s="6"/>
    </row>
    <row r="117" spans="3:3">
      <c r="C117" s="6"/>
    </row>
    <row r="118" spans="3:3">
      <c r="C118" s="6"/>
    </row>
    <row r="119" spans="3:3">
      <c r="C119" s="6"/>
    </row>
    <row r="120" spans="3:3">
      <c r="C120" s="6"/>
    </row>
    <row r="121" spans="3:3">
      <c r="C121" s="6"/>
    </row>
    <row r="122" spans="3:3">
      <c r="C122" s="6"/>
    </row>
    <row r="123" spans="3:3">
      <c r="C123" s="6"/>
    </row>
    <row r="124" spans="3:3">
      <c r="C124" s="6"/>
    </row>
    <row r="125" spans="3:3">
      <c r="C125" s="6"/>
    </row>
    <row r="126" spans="3:3">
      <c r="C126" s="6"/>
    </row>
    <row r="127" spans="3:3">
      <c r="C127" s="6"/>
    </row>
  </sheetData>
  <sheetProtection algorithmName="SHA-512" hashValue="//rHqj9KcWbOhUTEFmkj2HqzD/WfEibz5wNhuVDlxP2Gz2CnygO6w+JAkeu8Fw7mfvaA072QuaUdkOfGz5FADw==" saltValue="/3rX7KnQBKwDK7uS+iwPxg==" spinCount="100000" sheet="1" objects="1" scenarios="1"/>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11E78E-F8C4-428E-B81B-5F9A2BED8D6B}">
  <sheetPr codeName="Foglio3">
    <tabColor theme="0"/>
  </sheetPr>
  <dimension ref="A1:E1501"/>
  <sheetViews>
    <sheetView workbookViewId="0">
      <pane ySplit="1" topLeftCell="A2" activePane="bottomLeft" state="frozen"/>
      <selection pane="bottomLeft" activeCell="E19" sqref="E19"/>
    </sheetView>
  </sheetViews>
  <sheetFormatPr defaultColWidth="8.875" defaultRowHeight="12.75"/>
  <cols>
    <col min="1" max="1" width="38" style="425" customWidth="1"/>
    <col min="2" max="2" width="7.875" style="12" customWidth="1"/>
    <col min="3" max="3" width="9" style="12" bestFit="1" customWidth="1"/>
    <col min="5" max="5" width="14" bestFit="1" customWidth="1"/>
  </cols>
  <sheetData>
    <row r="1" spans="1:5">
      <c r="A1" s="424" t="s">
        <v>406</v>
      </c>
      <c r="B1" s="11" t="s">
        <v>407</v>
      </c>
      <c r="C1" s="11"/>
    </row>
    <row r="2" spans="1:5">
      <c r="A2" s="425" t="str" cm="1">
        <f t="array" ref="A2:A1500">+INDEX(Traduzioni,,Dwh_mig!B2)</f>
        <v>SUPPORTO</v>
      </c>
      <c r="B2" s="12" cm="1">
        <f t="array" ref="B2:B1500">+_xlfn.SEQUENCE(1499,,2)</f>
        <v>2</v>
      </c>
      <c r="C2" s="12" t="str">
        <f>+_xlfn.CONCAT("Trads",B2)</f>
        <v>Trads2</v>
      </c>
      <c r="E2">
        <f>+Dwh_mig!B2</f>
        <v>1</v>
      </c>
    </row>
    <row r="3" spans="1:5">
      <c r="A3" s="425" t="str">
        <v>Listino Prezzi</v>
      </c>
      <c r="B3" s="12">
        <v>3</v>
      </c>
      <c r="C3" s="12" t="str">
        <f t="shared" ref="C3:C66" si="0">+_xlfn.CONCAT("Trads",B3)</f>
        <v>Trads3</v>
      </c>
    </row>
    <row r="4" spans="1:5">
      <c r="A4" s="425" t="str">
        <v>Lingua</v>
      </c>
      <c r="B4" s="12">
        <v>4</v>
      </c>
      <c r="C4" s="12" t="str">
        <f t="shared" si="0"/>
        <v>Trads4</v>
      </c>
    </row>
    <row r="5" spans="1:5">
      <c r="A5" s="425" t="str">
        <v>Valuta</v>
      </c>
      <c r="B5" s="12">
        <v>5</v>
      </c>
      <c r="C5" s="12" t="str">
        <f t="shared" si="0"/>
        <v>Trads5</v>
      </c>
    </row>
    <row r="6" spans="1:5">
      <c r="A6" s="425" t="str">
        <v>Rif. Progetto</v>
      </c>
      <c r="B6" s="12">
        <v>6</v>
      </c>
      <c r="C6" s="12" t="str">
        <f t="shared" si="0"/>
        <v>Trads6</v>
      </c>
    </row>
    <row r="7" spans="1:5">
      <c r="A7" s="425" t="str">
        <v>SOTTOSTRUTTURA</v>
      </c>
      <c r="B7" s="12">
        <v>7</v>
      </c>
      <c r="C7" s="12" t="str">
        <f t="shared" si="0"/>
        <v>Trads7</v>
      </c>
    </row>
    <row r="8" spans="1:5">
      <c r="A8" s="425" t="str">
        <v>SUPPORTO PRINCIPALE</v>
      </c>
      <c r="B8" s="12">
        <v>8</v>
      </c>
      <c r="C8" s="12" t="str">
        <f t="shared" si="0"/>
        <v>Trads8</v>
      </c>
    </row>
    <row r="9" spans="1:5">
      <c r="A9" s="425" t="str">
        <v>COMPONENTI</v>
      </c>
      <c r="B9" s="12">
        <v>9</v>
      </c>
      <c r="C9" s="12" t="str">
        <f t="shared" si="0"/>
        <v>Trads9</v>
      </c>
    </row>
    <row r="10" spans="1:5">
      <c r="A10" s="425" t="str">
        <v>TIPO INTERMEDIO</v>
      </c>
      <c r="B10" s="12">
        <v>10</v>
      </c>
      <c r="C10" s="12" t="str">
        <f t="shared" si="0"/>
        <v>Trads10</v>
      </c>
    </row>
    <row r="11" spans="1:5">
      <c r="A11" s="425" t="str">
        <v>INTERMEDIO</v>
      </c>
      <c r="B11" s="12">
        <v>11</v>
      </c>
      <c r="C11" s="12" t="str">
        <f t="shared" si="0"/>
        <v>Trads11</v>
      </c>
    </row>
    <row r="12" spans="1:5">
      <c r="A12" s="425" t="str">
        <v>Codice</v>
      </c>
      <c r="B12" s="12">
        <v>12</v>
      </c>
      <c r="C12" s="12" t="str">
        <f t="shared" si="0"/>
        <v>Trads12</v>
      </c>
    </row>
    <row r="13" spans="1:5">
      <c r="A13" s="425" t="str">
        <v>TIPO ANGOLO</v>
      </c>
      <c r="B13" s="12">
        <v>13</v>
      </c>
      <c r="C13" s="12" t="str">
        <f t="shared" si="0"/>
        <v>Trads13</v>
      </c>
    </row>
    <row r="14" spans="1:5">
      <c r="A14" s="425" t="str">
        <v>TIPO NAVETTA</v>
      </c>
      <c r="B14" s="12">
        <v>14</v>
      </c>
      <c r="C14" s="12" t="str">
        <f t="shared" si="0"/>
        <v>Trads14</v>
      </c>
    </row>
    <row r="15" spans="1:5">
      <c r="A15" s="425" t="str">
        <v>NUMERO DI NAVETTE</v>
      </c>
      <c r="B15" s="12">
        <v>15</v>
      </c>
      <c r="C15" s="12" t="str">
        <f t="shared" si="0"/>
        <v>Trads15</v>
      </c>
    </row>
    <row r="16" spans="1:5">
      <c r="A16" s="425" t="str">
        <v>N. DI NAVETTE PER LINEA VITA</v>
      </c>
      <c r="B16" s="12">
        <v>16</v>
      </c>
      <c r="C16" s="12" t="str">
        <f t="shared" si="0"/>
        <v>Trads16</v>
      </c>
    </row>
    <row r="17" spans="1:3">
      <c r="A17" s="425" t="str">
        <v>PASSANTE</v>
      </c>
      <c r="B17" s="12">
        <v>17</v>
      </c>
      <c r="C17" s="12" t="str">
        <f t="shared" si="0"/>
        <v>Trads17</v>
      </c>
    </row>
    <row r="18" spans="1:3">
      <c r="A18" s="425" t="str">
        <v>NON PASSANTE</v>
      </c>
      <c r="B18" s="12">
        <v>18</v>
      </c>
      <c r="C18" s="12" t="str">
        <f t="shared" si="0"/>
        <v>Trads18</v>
      </c>
    </row>
    <row r="19" spans="1:3">
      <c r="A19" s="425" t="str">
        <v>LEGNO</v>
      </c>
      <c r="B19" s="12">
        <v>19</v>
      </c>
      <c r="C19" s="12" t="str">
        <f t="shared" si="0"/>
        <v>Trads19</v>
      </c>
    </row>
    <row r="20" spans="1:3">
      <c r="A20" s="425" t="str">
        <v>CEMENTO</v>
      </c>
      <c r="B20" s="12">
        <v>20</v>
      </c>
      <c r="C20" s="12" t="str">
        <f t="shared" si="0"/>
        <v>Trads20</v>
      </c>
    </row>
    <row r="21" spans="1:3">
      <c r="A21" s="425" t="str">
        <v>ACCIAIO</v>
      </c>
      <c r="B21" s="12">
        <v>21</v>
      </c>
      <c r="C21" s="12" t="str">
        <f t="shared" si="0"/>
        <v>Trads21</v>
      </c>
    </row>
    <row r="22" spans="1:3">
      <c r="A22" s="425" t="str">
        <v>Descrizione</v>
      </c>
      <c r="B22" s="12">
        <v>22</v>
      </c>
      <c r="C22" s="12" t="str">
        <f t="shared" si="0"/>
        <v>Trads22</v>
      </c>
    </row>
    <row r="23" spans="1:3">
      <c r="A23" s="425" t="str">
        <v>n.</v>
      </c>
      <c r="B23" s="12">
        <v>23</v>
      </c>
      <c r="C23" s="12" t="str">
        <f t="shared" si="0"/>
        <v>Trads23</v>
      </c>
    </row>
    <row r="24" spans="1:3">
      <c r="A24" s="425" t="str">
        <v>Prezzo Lordo</v>
      </c>
      <c r="B24" s="12">
        <v>24</v>
      </c>
      <c r="C24" s="12" t="str">
        <f t="shared" si="0"/>
        <v>Trads24</v>
      </c>
    </row>
    <row r="25" spans="1:3">
      <c r="A25" s="425" t="str">
        <v>Subtotale Lordo</v>
      </c>
      <c r="B25" s="12">
        <v>25</v>
      </c>
      <c r="C25" s="12" t="str">
        <f t="shared" si="0"/>
        <v>Trads25</v>
      </c>
    </row>
    <row r="26" spans="1:3">
      <c r="A26" s="425" t="str">
        <v>Sconto</v>
      </c>
      <c r="B26" s="12">
        <v>26</v>
      </c>
      <c r="C26" s="12" t="str">
        <f t="shared" si="0"/>
        <v>Trads26</v>
      </c>
    </row>
    <row r="27" spans="1:3">
      <c r="A27" s="425" t="str">
        <v>ACCESSORI</v>
      </c>
      <c r="B27" s="12">
        <v>27</v>
      </c>
      <c r="C27" s="12" t="str">
        <f t="shared" si="0"/>
        <v>Trads27</v>
      </c>
    </row>
    <row r="28" spans="1:3">
      <c r="A28" s="425" t="str">
        <v>TIPO DI SCALA</v>
      </c>
      <c r="B28" s="12">
        <v>28</v>
      </c>
      <c r="C28" s="12" t="str">
        <f t="shared" si="0"/>
        <v>Trads28</v>
      </c>
    </row>
    <row r="29" spans="1:3">
      <c r="A29" s="425" t="str">
        <v>Normativa</v>
      </c>
      <c r="B29" s="12">
        <v>29</v>
      </c>
      <c r="C29" s="12" t="str">
        <f t="shared" si="0"/>
        <v>Trads29</v>
      </c>
    </row>
    <row r="30" spans="1:3">
      <c r="A30" s="425" t="str">
        <v>CON GABBIA</v>
      </c>
      <c r="B30" s="12">
        <v>30</v>
      </c>
      <c r="C30" s="12" t="str">
        <f t="shared" si="0"/>
        <v>Trads30</v>
      </c>
    </row>
    <row r="31" spans="1:3">
      <c r="A31" s="425" t="str">
        <v>SENZA GABBIA</v>
      </c>
      <c r="B31" s="12">
        <v>31</v>
      </c>
      <c r="C31" s="12" t="str">
        <f t="shared" si="0"/>
        <v>Trads31</v>
      </c>
    </row>
    <row r="32" spans="1:3">
      <c r="A32" s="425" t="str">
        <v>NO</v>
      </c>
      <c r="B32" s="12">
        <v>32</v>
      </c>
      <c r="C32" s="12" t="str">
        <f t="shared" si="0"/>
        <v>Trads32</v>
      </c>
    </row>
    <row r="33" spans="1:3">
      <c r="A33" s="425" t="str">
        <v>SI</v>
      </c>
      <c r="B33" s="12">
        <v>33</v>
      </c>
      <c r="C33" s="12" t="str">
        <f t="shared" si="0"/>
        <v>Trads33</v>
      </c>
    </row>
    <row r="34" spans="1:3">
      <c r="A34" s="425" t="str">
        <v>Prezzo Netto</v>
      </c>
      <c r="B34" s="12">
        <v>34</v>
      </c>
      <c r="C34" s="12" t="str">
        <f t="shared" si="0"/>
        <v>Trads34</v>
      </c>
    </row>
    <row r="35" spans="1:3">
      <c r="A35" s="425" t="str">
        <v>ALTEZZA ALLO SBARCO</v>
      </c>
      <c r="B35" s="12">
        <v>35</v>
      </c>
      <c r="C35" s="12" t="str">
        <f t="shared" si="0"/>
        <v>Trads35</v>
      </c>
    </row>
    <row r="36" spans="1:3">
      <c r="A36" s="425" t="str">
        <v>PROFONDITA' STAFFE</v>
      </c>
      <c r="B36" s="12">
        <v>36</v>
      </c>
      <c r="C36" s="12" t="str">
        <f t="shared" si="0"/>
        <v>Trads36</v>
      </c>
    </row>
    <row r="37" spans="1:3">
      <c r="A37" s="425" t="str">
        <v xml:space="preserve">PROTEZIONE FINALE </v>
      </c>
      <c r="B37" s="12">
        <v>37</v>
      </c>
      <c r="C37" s="12" t="str">
        <f t="shared" si="0"/>
        <v>Trads37</v>
      </c>
    </row>
    <row r="38" spans="1:3">
      <c r="A38" s="425" t="str">
        <v>ESTENSIONE RIMOVIBILE</v>
      </c>
      <c r="B38" s="12">
        <v>38</v>
      </c>
      <c r="C38" s="12" t="str">
        <f t="shared" si="0"/>
        <v>Trads38</v>
      </c>
    </row>
    <row r="39" spans="1:3">
      <c r="A39" s="425" t="str">
        <v>PEDANA DI SBARCO</v>
      </c>
      <c r="B39" s="12">
        <v>39</v>
      </c>
      <c r="C39" s="12" t="str">
        <f t="shared" si="0"/>
        <v>Trads39</v>
      </c>
    </row>
    <row r="40" spans="1:3">
      <c r="A40" s="425" t="str">
        <v>SBARCO 500x500</v>
      </c>
      <c r="B40" s="12">
        <v>40</v>
      </c>
      <c r="C40" s="12" t="str">
        <f t="shared" si="0"/>
        <v>Trads40</v>
      </c>
    </row>
    <row r="41" spans="1:3">
      <c r="A41" s="425" t="str">
        <v>SBARCO 500x750</v>
      </c>
      <c r="B41" s="12">
        <v>41</v>
      </c>
      <c r="C41" s="12" t="str">
        <f t="shared" si="0"/>
        <v>Trads41</v>
      </c>
    </row>
    <row r="42" spans="1:3">
      <c r="A42" s="425" t="str">
        <v>PROTEZIONE SBARCO</v>
      </c>
      <c r="B42" s="12">
        <v>42</v>
      </c>
      <c r="C42" s="12" t="str">
        <f t="shared" si="0"/>
        <v>Trads42</v>
      </c>
    </row>
    <row r="43" spans="1:3">
      <c r="A43" s="425" t="str">
        <v>PEDANA DI RIPOSO</v>
      </c>
      <c r="B43" s="12">
        <v>43</v>
      </c>
      <c r="C43" s="12" t="str">
        <f t="shared" si="0"/>
        <v>Trads43</v>
      </c>
    </row>
    <row r="44" spans="1:3">
      <c r="A44" s="425" t="str">
        <v>PEDANA RIBALTABILE</v>
      </c>
      <c r="B44" s="12">
        <v>44</v>
      </c>
      <c r="C44" s="12" t="str">
        <f t="shared" si="0"/>
        <v>Trads44</v>
      </c>
    </row>
    <row r="45" spans="1:3">
      <c r="A45" s="425" t="str">
        <v>RIBALTABILE PER LV VERTICALE</v>
      </c>
      <c r="B45" s="12">
        <v>45</v>
      </c>
      <c r="C45" s="12" t="str">
        <f t="shared" si="0"/>
        <v>Trads45</v>
      </c>
    </row>
    <row r="46" spans="1:3">
      <c r="A46" s="425" t="str">
        <v>NORMATIVA PEDANA</v>
      </c>
      <c r="B46" s="12">
        <v>46</v>
      </c>
      <c r="C46" s="12" t="str">
        <f t="shared" si="0"/>
        <v>Trads46</v>
      </c>
    </row>
    <row r="47" spans="1:3">
      <c r="A47" s="425" t="str">
        <v>BOTOLA DI CHIUSURA</v>
      </c>
      <c r="B47" s="12">
        <v>47</v>
      </c>
      <c r="C47" s="12" t="str">
        <f t="shared" si="0"/>
        <v>Trads47</v>
      </c>
    </row>
    <row r="48" spans="1:3">
      <c r="A48" s="425" t="str">
        <v>TIPO PIEDINI</v>
      </c>
      <c r="B48" s="12">
        <v>48</v>
      </c>
      <c r="C48" s="12" t="str">
        <f t="shared" si="0"/>
        <v>Trads48</v>
      </c>
    </row>
    <row r="49" spans="1:3">
      <c r="A49" s="425" t="str">
        <v>PIEDINI REGOLABILI</v>
      </c>
      <c r="B49" s="12">
        <v>49</v>
      </c>
      <c r="C49" s="12" t="str">
        <f t="shared" si="0"/>
        <v>Trads49</v>
      </c>
    </row>
    <row r="50" spans="1:3">
      <c r="A50" s="425" t="str">
        <v>PIEDINI SNODATI</v>
      </c>
      <c r="B50" s="12">
        <v>50</v>
      </c>
      <c r="C50" s="12" t="str">
        <f t="shared" si="0"/>
        <v>Trads50</v>
      </c>
    </row>
    <row r="51" spans="1:3">
      <c r="A51" s="425" t="str">
        <v>GANCIO PER SCALE</v>
      </c>
      <c r="B51" s="12">
        <v>51</v>
      </c>
      <c r="C51" s="12" t="str">
        <f t="shared" si="0"/>
        <v>Trads51</v>
      </c>
    </row>
    <row r="52" spans="1:3">
      <c r="A52" s="425" t="str">
        <v>MANIGLIONI</v>
      </c>
      <c r="B52" s="12">
        <v>52</v>
      </c>
      <c r="C52" s="12" t="str">
        <f t="shared" si="0"/>
        <v>Trads52</v>
      </c>
    </row>
    <row r="53" spans="1:3">
      <c r="A53" s="425" t="str">
        <v>MODULI SCALE</v>
      </c>
      <c r="B53" s="12">
        <v>53</v>
      </c>
      <c r="C53" s="12" t="str">
        <f t="shared" si="0"/>
        <v>Trads53</v>
      </c>
    </row>
    <row r="54" spans="1:3">
      <c r="A54" s="425" t="str">
        <v>PZ</v>
      </c>
      <c r="B54" s="12">
        <v>54</v>
      </c>
      <c r="C54" s="12" t="str">
        <f t="shared" si="0"/>
        <v>Trads54</v>
      </c>
    </row>
    <row r="55" spans="1:3">
      <c r="A55" s="425" t="str">
        <v>Gruppo</v>
      </c>
      <c r="B55" s="12">
        <v>55</v>
      </c>
      <c r="C55" s="12" t="str">
        <f t="shared" si="0"/>
        <v>Trads55</v>
      </c>
    </row>
    <row r="56" spans="1:3">
      <c r="A56" s="425" t="str">
        <v>ASTE GABBIA</v>
      </c>
      <c r="B56" s="12">
        <v>56</v>
      </c>
      <c r="C56" s="12" t="str">
        <f t="shared" si="0"/>
        <v>Trads56</v>
      </c>
    </row>
    <row r="57" spans="1:3">
      <c r="A57" s="425" t="str">
        <v>ANELLI</v>
      </c>
      <c r="B57" s="12">
        <v>57</v>
      </c>
      <c r="C57" s="12" t="str">
        <f t="shared" si="0"/>
        <v>Trads57</v>
      </c>
    </row>
    <row r="58" spans="1:3">
      <c r="A58" s="425" t="str">
        <v>STAFFE</v>
      </c>
      <c r="B58" s="12">
        <v>58</v>
      </c>
      <c r="C58" s="12" t="str">
        <f t="shared" si="0"/>
        <v>Trads58</v>
      </c>
    </row>
    <row r="59" spans="1:3">
      <c r="A59" s="425" t="str">
        <v>GIUNZIONI</v>
      </c>
      <c r="B59" s="12">
        <v>59</v>
      </c>
      <c r="C59" s="12" t="str">
        <f t="shared" si="0"/>
        <v>Trads59</v>
      </c>
    </row>
    <row r="60" spans="1:3">
      <c r="A60" s="425" t="str">
        <v>TAPPI</v>
      </c>
      <c r="B60" s="12">
        <v>60</v>
      </c>
      <c r="C60" s="12" t="str">
        <f t="shared" si="0"/>
        <v>Trads60</v>
      </c>
    </row>
    <row r="61" spans="1:3">
      <c r="A61" s="425" t="str">
        <v>TARGHETTA</v>
      </c>
      <c r="B61" s="12">
        <v>61</v>
      </c>
      <c r="C61" s="12" t="str">
        <f t="shared" si="0"/>
        <v>Trads61</v>
      </c>
    </row>
    <row r="62" spans="1:3">
      <c r="A62" s="425" t="str">
        <v>FISSAGGI</v>
      </c>
      <c r="B62" s="12">
        <v>62</v>
      </c>
      <c r="C62" s="12" t="str">
        <f t="shared" si="0"/>
        <v>Trads62</v>
      </c>
    </row>
    <row r="63" spans="1:3">
      <c r="A63" s="425" t="str">
        <v>FISSAGGI STAFFE</v>
      </c>
      <c r="B63" s="12">
        <v>63</v>
      </c>
      <c r="C63" s="12" t="str">
        <f t="shared" si="0"/>
        <v>Trads63</v>
      </c>
    </row>
    <row r="64" spans="1:3">
      <c r="A64" s="425" t="str">
        <v>FISSAGGIO INTERMEDIO</v>
      </c>
      <c r="B64" s="12">
        <v>64</v>
      </c>
      <c r="C64" s="12" t="str">
        <f t="shared" si="0"/>
        <v>Trads64</v>
      </c>
    </row>
    <row r="65" spans="1:3">
      <c r="A65" s="425" t="str">
        <v>LINGUA TARGHETTA</v>
      </c>
      <c r="B65" s="12">
        <v>65</v>
      </c>
      <c r="C65" s="12" t="str">
        <f t="shared" si="0"/>
        <v>Trads65</v>
      </c>
    </row>
    <row r="66" spans="1:3">
      <c r="A66" s="425" t="str">
        <v>ESTENSIONE SUPERIORE</v>
      </c>
      <c r="B66" s="12">
        <v>66</v>
      </c>
      <c r="C66" s="12" t="str">
        <f t="shared" si="0"/>
        <v>Trads66</v>
      </c>
    </row>
    <row r="67" spans="1:3">
      <c r="A67" s="425" t="str">
        <v>INTERASSE INTERMEDI</v>
      </c>
      <c r="B67" s="12">
        <v>67</v>
      </c>
      <c r="C67" s="12" t="str">
        <f t="shared" ref="C67:C130" si="1">+_xlfn.CONCAT("Trads",B67)</f>
        <v>Trads67</v>
      </c>
    </row>
    <row r="68" spans="1:3">
      <c r="A68" s="425" t="str">
        <v>INTERASSE 5 MT (SUGGERITO)</v>
      </c>
      <c r="B68" s="12">
        <v>68</v>
      </c>
      <c r="C68" s="12" t="str">
        <f t="shared" si="1"/>
        <v>Trads68</v>
      </c>
    </row>
    <row r="69" spans="1:3">
      <c r="A69" s="425" t="str">
        <v>NESSUN INTERMEDIO</v>
      </c>
      <c r="B69" s="12">
        <v>69</v>
      </c>
      <c r="C69" s="12" t="str">
        <f t="shared" si="1"/>
        <v>Trads69</v>
      </c>
    </row>
    <row r="70" spans="1:3">
      <c r="A70" s="425" t="str">
        <v>N.1 INTERMEDIO</v>
      </c>
      <c r="B70" s="12">
        <v>70</v>
      </c>
      <c r="C70" s="12" t="str">
        <f t="shared" si="1"/>
        <v>Trads70</v>
      </c>
    </row>
    <row r="71" spans="1:3">
      <c r="A71" s="425" t="str">
        <v>N.2 INTERMEDIO</v>
      </c>
      <c r="B71" s="12">
        <v>71</v>
      </c>
      <c r="C71" s="12" t="str">
        <f t="shared" si="1"/>
        <v>Trads71</v>
      </c>
    </row>
    <row r="72" spans="1:3">
      <c r="A72" s="425" t="str">
        <v>N.3 INTERMEDIO</v>
      </c>
      <c r="B72" s="12">
        <v>72</v>
      </c>
      <c r="C72" s="12" t="str">
        <f t="shared" si="1"/>
        <v>Trads72</v>
      </c>
    </row>
    <row r="73" spans="1:3">
      <c r="A73" s="425" t="str">
        <v>N.4 INTERMEDIO</v>
      </c>
      <c r="B73" s="12">
        <v>73</v>
      </c>
      <c r="C73" s="12" t="str">
        <f t="shared" si="1"/>
        <v>Trads73</v>
      </c>
    </row>
    <row r="74" spans="1:3">
      <c r="A74" s="425" t="str">
        <v>N.5 INTERMEDIO</v>
      </c>
      <c r="B74" s="12">
        <v>74</v>
      </c>
      <c r="C74" s="12" t="str">
        <f t="shared" si="1"/>
        <v>Trads74</v>
      </c>
    </row>
    <row r="75" spans="1:3">
      <c r="A75" s="425" t="str">
        <v>NAVETTA INCLUSA</v>
      </c>
      <c r="B75" s="12">
        <v>75</v>
      </c>
      <c r="C75" s="12" t="str">
        <f t="shared" si="1"/>
        <v>Trads75</v>
      </c>
    </row>
    <row r="76" spans="1:3">
      <c r="A76" s="425" t="str">
        <v>MANIGLIE</v>
      </c>
      <c r="B76" s="12">
        <v>76</v>
      </c>
      <c r="C76" s="12" t="str">
        <f t="shared" si="1"/>
        <v>Trads76</v>
      </c>
    </row>
    <row r="77" spans="1:3">
      <c r="A77" s="425" t="str">
        <v>FISSAGGIO ALLA BASE</v>
      </c>
      <c r="B77" s="12">
        <v>77</v>
      </c>
      <c r="C77" s="12" t="str">
        <f t="shared" si="1"/>
        <v>Trads77</v>
      </c>
    </row>
    <row r="78" spans="1:3">
      <c r="A78" s="425" t="str">
        <v>RINFORZO PER SCALE</v>
      </c>
      <c r="B78" s="12">
        <v>78</v>
      </c>
      <c r="C78" s="12" t="str">
        <f t="shared" si="1"/>
        <v>Trads78</v>
      </c>
    </row>
    <row r="79" spans="1:3">
      <c r="A79" s="425" t="str">
        <v>Totale</v>
      </c>
      <c r="B79" s="12">
        <v>79</v>
      </c>
      <c r="C79" s="12" t="str">
        <f t="shared" si="1"/>
        <v>Trads79</v>
      </c>
    </row>
    <row r="80" spans="1:3">
      <c r="A80" s="425" t="str">
        <v>Totale prezzo Netto</v>
      </c>
      <c r="B80" s="12">
        <v>80</v>
      </c>
      <c r="C80" s="12" t="str">
        <f t="shared" si="1"/>
        <v>Trads80</v>
      </c>
    </row>
    <row r="81" spans="1:3">
      <c r="A81" s="425" t="str">
        <v>Info Cliente</v>
      </c>
      <c r="B81" s="12">
        <v>81</v>
      </c>
      <c r="C81" s="12" t="str">
        <f t="shared" si="1"/>
        <v>Trads81</v>
      </c>
    </row>
    <row r="82" spans="1:3">
      <c r="A82" s="425" t="str">
        <v>Numero Cliente</v>
      </c>
      <c r="B82" s="12">
        <v>82</v>
      </c>
      <c r="C82" s="12" t="str">
        <f t="shared" si="1"/>
        <v>Trads82</v>
      </c>
    </row>
    <row r="83" spans="1:3">
      <c r="A83" s="425" t="str">
        <v>Codice Semiramis</v>
      </c>
      <c r="B83" s="12">
        <v>83</v>
      </c>
      <c r="C83" s="12" t="str">
        <f t="shared" si="1"/>
        <v>Trads83</v>
      </c>
    </row>
    <row r="84" spans="1:3">
      <c r="A84" s="425" t="str">
        <v>Nome Cliente</v>
      </c>
      <c r="B84" s="12">
        <v>84</v>
      </c>
      <c r="C84" s="12" t="str">
        <f t="shared" si="1"/>
        <v>Trads84</v>
      </c>
    </row>
    <row r="85" spans="1:3">
      <c r="A85" s="425" t="str">
        <v xml:space="preserve">Email </v>
      </c>
      <c r="B85" s="12">
        <v>85</v>
      </c>
      <c r="C85" s="12" t="str">
        <f t="shared" si="1"/>
        <v>Trads85</v>
      </c>
    </row>
    <row r="86" spans="1:3">
      <c r="A86" s="425" t="str">
        <v>Telefono</v>
      </c>
      <c r="B86" s="12">
        <v>86</v>
      </c>
      <c r="C86" s="12" t="str">
        <f t="shared" si="1"/>
        <v>Trads86</v>
      </c>
    </row>
    <row r="87" spans="1:3">
      <c r="A87" s="425" t="str">
        <v>Sito Web</v>
      </c>
      <c r="B87" s="12">
        <v>87</v>
      </c>
      <c r="C87" s="12" t="str">
        <f t="shared" si="1"/>
        <v>Trads87</v>
      </c>
    </row>
    <row r="88" spans="1:3">
      <c r="A88" s="425" t="str">
        <v>Tecnico Commerciale</v>
      </c>
      <c r="B88" s="12">
        <v>88</v>
      </c>
      <c r="C88" s="12" t="str">
        <f t="shared" si="1"/>
        <v>Trads88</v>
      </c>
    </row>
    <row r="89" spans="1:3">
      <c r="A89" s="425" t="str">
        <v>Partita IVA</v>
      </c>
      <c r="B89" s="12">
        <v>89</v>
      </c>
      <c r="C89" s="12" t="str">
        <f t="shared" si="1"/>
        <v>Trads89</v>
      </c>
    </row>
    <row r="90" spans="1:3">
      <c r="A90" s="425" t="str">
        <v>Codice IBAN</v>
      </c>
      <c r="B90" s="12">
        <v>90</v>
      </c>
      <c r="C90" s="12" t="str">
        <f t="shared" si="1"/>
        <v>Trads90</v>
      </c>
    </row>
    <row r="91" spans="1:3">
      <c r="A91" s="425" t="str">
        <v>Codice SWIFT</v>
      </c>
      <c r="B91" s="12">
        <v>91</v>
      </c>
      <c r="C91" s="12" t="str">
        <f t="shared" si="1"/>
        <v>Trads91</v>
      </c>
    </row>
    <row r="92" spans="1:3">
      <c r="A92" s="425" t="str">
        <v>Indirizzo Fatturazione</v>
      </c>
      <c r="B92" s="12">
        <v>92</v>
      </c>
      <c r="C92" s="12" t="str">
        <f t="shared" si="1"/>
        <v>Trads92</v>
      </c>
    </row>
    <row r="93" spans="1:3">
      <c r="A93" s="425" t="str">
        <v>Via</v>
      </c>
      <c r="B93" s="12">
        <v>93</v>
      </c>
      <c r="C93" s="12" t="str">
        <f t="shared" si="1"/>
        <v>Trads93</v>
      </c>
    </row>
    <row r="94" spans="1:3">
      <c r="A94" s="425" t="str">
        <v>Città</v>
      </c>
      <c r="B94" s="12">
        <v>94</v>
      </c>
      <c r="C94" s="12" t="str">
        <f t="shared" si="1"/>
        <v>Trads94</v>
      </c>
    </row>
    <row r="95" spans="1:3">
      <c r="A95" s="425" t="str">
        <v>CAP</v>
      </c>
      <c r="B95" s="12">
        <v>95</v>
      </c>
      <c r="C95" s="12" t="str">
        <f t="shared" si="1"/>
        <v>Trads95</v>
      </c>
    </row>
    <row r="96" spans="1:3">
      <c r="A96" s="425" t="str">
        <v>Nazione</v>
      </c>
      <c r="B96" s="12">
        <v>96</v>
      </c>
      <c r="C96" s="12" t="str">
        <f t="shared" si="1"/>
        <v>Trads96</v>
      </c>
    </row>
    <row r="97" spans="1:3">
      <c r="A97" s="425" t="str">
        <v>Provincia</v>
      </c>
      <c r="B97" s="12">
        <v>97</v>
      </c>
      <c r="C97" s="12" t="str">
        <f t="shared" si="1"/>
        <v>Trads97</v>
      </c>
    </row>
    <row r="98" spans="1:3">
      <c r="A98" s="425" t="str">
        <v>Indirizzo per la Spedizione</v>
      </c>
      <c r="B98" s="12">
        <v>98</v>
      </c>
      <c r="C98" s="12" t="str">
        <f t="shared" si="1"/>
        <v>Trads98</v>
      </c>
    </row>
    <row r="99" spans="1:3">
      <c r="A99" s="425" t="str">
        <v>Listino Prezzi e Valuta</v>
      </c>
      <c r="B99" s="12">
        <v>99</v>
      </c>
      <c r="C99" s="12" t="str">
        <f t="shared" si="1"/>
        <v>Trads99</v>
      </c>
    </row>
    <row r="100" spans="1:3">
      <c r="A100" s="425" t="str">
        <v>Fatturato</v>
      </c>
      <c r="B100" s="12">
        <v>100</v>
      </c>
      <c r="C100" s="12" t="str">
        <f t="shared" si="1"/>
        <v>Trads100</v>
      </c>
    </row>
    <row r="101" spans="1:3">
      <c r="A101" s="425" t="str">
        <v>LINEA PRODOTTO</v>
      </c>
      <c r="B101" s="12">
        <v>101</v>
      </c>
      <c r="C101" s="12" t="str">
        <f t="shared" si="1"/>
        <v>Trads101</v>
      </c>
    </row>
    <row r="102" spans="1:3">
      <c r="A102" s="425" t="str">
        <v xml:space="preserve">PUNTI SINGOLI </v>
      </c>
      <c r="B102" s="12">
        <v>102</v>
      </c>
      <c r="C102" s="12" t="str">
        <f t="shared" si="1"/>
        <v>Trads102</v>
      </c>
    </row>
    <row r="103" spans="1:3">
      <c r="A103" s="425" t="str">
        <v>LINEE VITA</v>
      </c>
      <c r="B103" s="12">
        <v>103</v>
      </c>
      <c r="C103" s="12" t="str">
        <f t="shared" si="1"/>
        <v>Trads103</v>
      </c>
    </row>
    <row r="104" spans="1:3">
      <c r="A104" s="425" t="str">
        <v>SUPPORTI</v>
      </c>
      <c r="B104" s="12">
        <v>104</v>
      </c>
      <c r="C104" s="12" t="str">
        <f t="shared" si="1"/>
        <v>Trads104</v>
      </c>
    </row>
    <row r="105" spans="1:3">
      <c r="A105" s="425" t="str">
        <v>COMPONENTI LINEE VITA</v>
      </c>
      <c r="B105" s="12">
        <v>105</v>
      </c>
      <c r="C105" s="12" t="str">
        <f t="shared" si="1"/>
        <v>Trads105</v>
      </c>
    </row>
    <row r="106" spans="1:3">
      <c r="A106" s="425" t="str">
        <v>ANTICADUTA</v>
      </c>
      <c r="B106" s="12">
        <v>106</v>
      </c>
      <c r="C106" s="12" t="str">
        <f t="shared" si="1"/>
        <v>Trads106</v>
      </c>
    </row>
    <row r="107" spans="1:3">
      <c r="A107" s="425" t="str">
        <v>PROTEZIONI COLLETTIVE</v>
      </c>
      <c r="B107" s="12">
        <v>107</v>
      </c>
      <c r="C107" s="12" t="str">
        <f t="shared" si="1"/>
        <v>Trads107</v>
      </c>
    </row>
    <row r="108" spans="1:3" ht="25.5">
      <c r="A108" s="425" t="str">
        <v>DPI - DISPOSITIVI DI PROTEZIONE INDIVIDUALE</v>
      </c>
      <c r="B108" s="12">
        <v>108</v>
      </c>
      <c r="C108" s="12" t="str">
        <f t="shared" si="1"/>
        <v>Trads108</v>
      </c>
    </row>
    <row r="109" spans="1:3">
      <c r="A109" s="425" t="str">
        <v>ALTRE LINEE VITA</v>
      </c>
      <c r="B109" s="12">
        <v>109</v>
      </c>
      <c r="C109" s="12" t="str">
        <f t="shared" si="1"/>
        <v>Trads109</v>
      </c>
    </row>
    <row r="110" spans="1:3">
      <c r="A110" s="425" t="str">
        <v>CAVO IN ACCIAIO</v>
      </c>
      <c r="B110" s="12">
        <v>110</v>
      </c>
      <c r="C110" s="12" t="str">
        <f t="shared" si="1"/>
        <v>Trads110</v>
      </c>
    </row>
    <row r="111" spans="1:3">
      <c r="A111" s="425" t="str">
        <v>Tasso di cambio:</v>
      </c>
      <c r="B111" s="12">
        <v>111</v>
      </c>
      <c r="C111" s="12" t="str">
        <f t="shared" si="1"/>
        <v>Trads111</v>
      </c>
    </row>
    <row r="112" spans="1:3">
      <c r="A112" s="425" t="str">
        <v xml:space="preserve">Pagamento </v>
      </c>
      <c r="B112" s="12">
        <v>112</v>
      </c>
      <c r="C112" s="12" t="str">
        <f t="shared" si="1"/>
        <v>Trads112</v>
      </c>
    </row>
    <row r="113" spans="1:3">
      <c r="A113" s="425" t="str">
        <v>ORDINE</v>
      </c>
      <c r="B113" s="12">
        <v>113</v>
      </c>
      <c r="C113" s="12" t="str">
        <f t="shared" si="1"/>
        <v>Trads113</v>
      </c>
    </row>
    <row r="114" spans="1:3">
      <c r="A114" s="425" t="str">
        <v>Rif.</v>
      </c>
      <c r="B114" s="12">
        <v>114</v>
      </c>
      <c r="C114" s="12" t="str">
        <f t="shared" si="1"/>
        <v>Trads114</v>
      </c>
    </row>
    <row r="115" spans="1:3">
      <c r="A115" s="425" t="str">
        <v>Data</v>
      </c>
      <c r="B115" s="12">
        <v>115</v>
      </c>
      <c r="C115" s="12" t="str">
        <f t="shared" si="1"/>
        <v>Trads115</v>
      </c>
    </row>
    <row r="116" spans="1:3">
      <c r="A116" s="425" t="str">
        <v>Cellulare</v>
      </c>
      <c r="B116" s="12">
        <v>116</v>
      </c>
      <c r="C116" s="12" t="str">
        <f t="shared" si="1"/>
        <v>Trads116</v>
      </c>
    </row>
    <row r="117" spans="1:3">
      <c r="A117" s="425" t="str">
        <v>Persona di riferimento</v>
      </c>
      <c r="B117" s="12">
        <v>117</v>
      </c>
      <c r="C117" s="12" t="str">
        <f t="shared" si="1"/>
        <v>Trads117</v>
      </c>
    </row>
    <row r="118" spans="1:3">
      <c r="A118" s="425" t="str">
        <v>Linea</v>
      </c>
      <c r="B118" s="12">
        <v>118</v>
      </c>
      <c r="C118" s="12" t="str">
        <f t="shared" si="1"/>
        <v>Trads118</v>
      </c>
    </row>
    <row r="119" spans="1:3">
      <c r="A119" s="425" t="str">
        <v>Qt.</v>
      </c>
      <c r="B119" s="12">
        <v>119</v>
      </c>
      <c r="C119" s="12" t="str">
        <f t="shared" si="1"/>
        <v>Trads119</v>
      </c>
    </row>
    <row r="120" spans="1:3">
      <c r="A120" s="425" t="str">
        <v>Subtotale</v>
      </c>
      <c r="B120" s="12">
        <v>120</v>
      </c>
      <c r="C120" s="12" t="str">
        <f t="shared" si="1"/>
        <v>Trads120</v>
      </c>
    </row>
    <row r="121" spans="1:3">
      <c r="A121" s="425" t="str">
        <v>Peso</v>
      </c>
      <c r="B121" s="12">
        <v>121</v>
      </c>
      <c r="C121" s="12" t="str">
        <f t="shared" si="1"/>
        <v>Trads121</v>
      </c>
    </row>
    <row r="122" spans="1:3">
      <c r="A122" s="425" t="str">
        <v>Note</v>
      </c>
      <c r="B122" s="12">
        <v>122</v>
      </c>
      <c r="C122" s="12" t="str">
        <f t="shared" si="1"/>
        <v>Trads122</v>
      </c>
    </row>
    <row r="123" spans="1:3">
      <c r="A123" s="425" t="str">
        <v>Cliente</v>
      </c>
      <c r="B123" s="12">
        <v>123</v>
      </c>
      <c r="C123" s="12" t="str">
        <f t="shared" si="1"/>
        <v>Trads123</v>
      </c>
    </row>
    <row r="124" spans="1:3">
      <c r="A124" s="425" t="str">
        <v>RETI DI SICUREZZA</v>
      </c>
      <c r="B124" s="12">
        <v>124</v>
      </c>
      <c r="C124" s="12" t="str">
        <f t="shared" si="1"/>
        <v>Trads124</v>
      </c>
    </row>
    <row r="125" spans="1:3">
      <c r="A125" s="425" t="str">
        <v>PARAPETTI</v>
      </c>
      <c r="B125" s="12">
        <v>125</v>
      </c>
      <c r="C125" s="12" t="str">
        <f t="shared" si="1"/>
        <v>Trads125</v>
      </c>
    </row>
    <row r="126" spans="1:3">
      <c r="A126" s="425" t="str">
        <v>GANCI SCALE</v>
      </c>
      <c r="B126" s="12">
        <v>126</v>
      </c>
      <c r="C126" s="12" t="str">
        <f t="shared" si="1"/>
        <v>Trads126</v>
      </c>
    </row>
    <row r="127" spans="1:3">
      <c r="A127" s="425" t="str">
        <v>CASCHI</v>
      </c>
      <c r="B127" s="12">
        <v>127</v>
      </c>
      <c r="C127" s="12" t="str">
        <f t="shared" si="1"/>
        <v>Trads127</v>
      </c>
    </row>
    <row r="128" spans="1:3">
      <c r="A128" s="425" t="str">
        <v>IMBRACHI</v>
      </c>
      <c r="B128" s="12">
        <v>128</v>
      </c>
      <c r="C128" s="12" t="str">
        <f t="shared" si="1"/>
        <v>Trads128</v>
      </c>
    </row>
    <row r="129" spans="1:3">
      <c r="A129" s="425" t="str">
        <v>CORDINI</v>
      </c>
      <c r="B129" s="12">
        <v>129</v>
      </c>
      <c r="C129" s="12" t="str">
        <f t="shared" si="1"/>
        <v>Trads129</v>
      </c>
    </row>
    <row r="130" spans="1:3">
      <c r="A130" s="425" t="str">
        <v>DISCENSORI</v>
      </c>
      <c r="B130" s="12">
        <v>130</v>
      </c>
      <c r="C130" s="12" t="str">
        <f t="shared" si="1"/>
        <v>Trads130</v>
      </c>
    </row>
    <row r="131" spans="1:3">
      <c r="A131" s="425" t="str">
        <v>RETRATTILI</v>
      </c>
      <c r="B131" s="12">
        <v>131</v>
      </c>
      <c r="C131" s="12" t="str">
        <f t="shared" ref="C131:C194" si="2">+_xlfn.CONCAT("Trads",B131)</f>
        <v>Trads131</v>
      </c>
    </row>
    <row r="132" spans="1:3">
      <c r="A132" s="425" t="str">
        <v>POSIZIONAMENTO</v>
      </c>
      <c r="B132" s="12">
        <v>132</v>
      </c>
      <c r="C132" s="12" t="str">
        <f t="shared" si="2"/>
        <v>Trads132</v>
      </c>
    </row>
    <row r="133" spans="1:3">
      <c r="A133" s="425" t="str">
        <v>ANCORANTI</v>
      </c>
      <c r="B133" s="12">
        <v>133</v>
      </c>
      <c r="C133" s="12" t="str">
        <f t="shared" si="2"/>
        <v>Trads133</v>
      </c>
    </row>
    <row r="134" spans="1:3">
      <c r="A134" s="425" t="str">
        <v>CONNETTORI</v>
      </c>
      <c r="B134" s="12">
        <v>134</v>
      </c>
      <c r="C134" s="12" t="str">
        <f t="shared" si="2"/>
        <v>Trads134</v>
      </c>
    </row>
    <row r="135" spans="1:3">
      <c r="A135" s="425" t="str">
        <v>TRIPODI</v>
      </c>
      <c r="B135" s="12">
        <v>135</v>
      </c>
      <c r="C135" s="12" t="str">
        <f t="shared" si="2"/>
        <v>Trads135</v>
      </c>
    </row>
    <row r="136" spans="1:3">
      <c r="A136" s="425" t="str">
        <v>BIPODI</v>
      </c>
      <c r="B136" s="12">
        <v>136</v>
      </c>
      <c r="C136" s="12" t="str">
        <f t="shared" si="2"/>
        <v>Trads136</v>
      </c>
    </row>
    <row r="137" spans="1:3">
      <c r="A137" s="425" t="str">
        <v>GUANTI</v>
      </c>
      <c r="B137" s="12">
        <v>137</v>
      </c>
      <c r="C137" s="12" t="str">
        <f t="shared" si="2"/>
        <v>Trads137</v>
      </c>
    </row>
    <row r="138" spans="1:3">
      <c r="A138" s="425" t="str">
        <v>ORECCHIE</v>
      </c>
      <c r="B138" s="12">
        <v>138</v>
      </c>
      <c r="C138" s="12" t="str">
        <f t="shared" si="2"/>
        <v>Trads138</v>
      </c>
    </row>
    <row r="139" spans="1:3">
      <c r="A139" s="425" t="str">
        <v>OCCHI</v>
      </c>
      <c r="B139" s="12">
        <v>139</v>
      </c>
      <c r="C139" s="12" t="str">
        <f t="shared" si="2"/>
        <v>Trads139</v>
      </c>
    </row>
    <row r="140" spans="1:3">
      <c r="A140" s="425" t="str">
        <v>FISSAGGI</v>
      </c>
      <c r="B140" s="12">
        <v>140</v>
      </c>
      <c r="C140" s="12" t="str">
        <f t="shared" si="2"/>
        <v>Trads140</v>
      </c>
    </row>
    <row r="141" spans="1:3">
      <c r="A141" s="425" t="str">
        <v>SITEMI DI FISSAGGIO</v>
      </c>
      <c r="B141" s="12">
        <v>141</v>
      </c>
      <c r="C141" s="12" t="str">
        <f t="shared" si="2"/>
        <v>Trads141</v>
      </c>
    </row>
    <row r="142" spans="1:3">
      <c r="A142" s="425" t="str">
        <v>Corrimano</v>
      </c>
      <c r="B142" s="12">
        <v>142</v>
      </c>
      <c r="C142" s="12" t="str">
        <f t="shared" si="2"/>
        <v>Trads142</v>
      </c>
    </row>
    <row r="143" spans="1:3">
      <c r="A143" s="425" t="str">
        <v>Dritto</v>
      </c>
      <c r="B143" s="12">
        <v>143</v>
      </c>
      <c r="C143" s="12" t="str">
        <f t="shared" si="2"/>
        <v>Trads143</v>
      </c>
    </row>
    <row r="144" spans="1:3">
      <c r="A144" s="425" t="str">
        <v>Inclinato</v>
      </c>
      <c r="B144" s="12">
        <v>144</v>
      </c>
      <c r="C144" s="12" t="str">
        <f t="shared" si="2"/>
        <v>Trads144</v>
      </c>
    </row>
    <row r="145" spans="1:3">
      <c r="A145" s="425" t="str">
        <v>Tavola Fermapiede</v>
      </c>
      <c r="B145" s="12">
        <v>145</v>
      </c>
      <c r="C145" s="12" t="str">
        <f t="shared" si="2"/>
        <v>Trads145</v>
      </c>
    </row>
    <row r="146" spans="1:3">
      <c r="A146" s="425" t="str">
        <v>Prezzo Listino/ml</v>
      </c>
      <c r="B146" s="12">
        <v>146</v>
      </c>
      <c r="C146" s="12" t="str">
        <f t="shared" si="2"/>
        <v>Trads146</v>
      </c>
    </row>
    <row r="147" spans="1:3">
      <c r="A147" s="425" t="str">
        <v>Lingua</v>
      </c>
      <c r="B147" s="12">
        <v>147</v>
      </c>
      <c r="C147" s="12" t="str">
        <f t="shared" si="2"/>
        <v>Trads147</v>
      </c>
    </row>
    <row r="148" spans="1:3">
      <c r="A148" s="425" t="str">
        <v>AUTOPORTANTE</v>
      </c>
      <c r="B148" s="12">
        <v>148</v>
      </c>
      <c r="C148" s="12" t="str">
        <f t="shared" si="2"/>
        <v>Trads148</v>
      </c>
    </row>
    <row r="149" spans="1:3">
      <c r="A149" s="425" t="str">
        <v>Montante</v>
      </c>
      <c r="B149" s="12">
        <v>149</v>
      </c>
      <c r="C149" s="12" t="str">
        <f t="shared" si="2"/>
        <v>Trads149</v>
      </c>
    </row>
    <row r="150" spans="1:3">
      <c r="A150" s="425" t="str">
        <v>Diritto</v>
      </c>
      <c r="B150" s="12">
        <v>150</v>
      </c>
      <c r="C150" s="12" t="str">
        <f t="shared" si="2"/>
        <v>Trads150</v>
      </c>
    </row>
    <row r="151" spans="1:3">
      <c r="A151" s="425" t="str">
        <v>Corrente</v>
      </c>
      <c r="B151" s="12">
        <v>151</v>
      </c>
      <c r="C151" s="12" t="str">
        <f t="shared" si="2"/>
        <v>Trads151</v>
      </c>
    </row>
    <row r="152" spans="1:3">
      <c r="A152" s="425" t="str">
        <v>Altezza Montante</v>
      </c>
      <c r="B152" s="12">
        <v>152</v>
      </c>
      <c r="C152" s="12" t="str">
        <f t="shared" si="2"/>
        <v>Trads152</v>
      </c>
    </row>
    <row r="153" spans="1:3">
      <c r="A153" s="425" t="str">
        <v>Normativa di riferimento</v>
      </c>
      <c r="B153" s="12">
        <v>153</v>
      </c>
      <c r="C153" s="12" t="str">
        <f t="shared" si="2"/>
        <v>Trads153</v>
      </c>
    </row>
    <row r="154" spans="1:3">
      <c r="A154" s="425" t="str">
        <v>Composizione Parapetto</v>
      </c>
      <c r="B154" s="12">
        <v>154</v>
      </c>
      <c r="C154" s="12" t="str">
        <f t="shared" si="2"/>
        <v>Trads154</v>
      </c>
    </row>
    <row r="155" spans="1:3">
      <c r="A155" s="425" t="str">
        <v>Lunghezza totale parapetto</v>
      </c>
      <c r="B155" s="12">
        <v>155</v>
      </c>
      <c r="C155" s="12" t="str">
        <f t="shared" si="2"/>
        <v>Trads155</v>
      </c>
    </row>
    <row r="156" spans="1:3">
      <c r="A156" s="425" t="str">
        <v>Angoli</v>
      </c>
      <c r="B156" s="12">
        <v>156</v>
      </c>
      <c r="C156" s="12" t="str">
        <f t="shared" si="2"/>
        <v>Trads156</v>
      </c>
    </row>
    <row r="157" spans="1:3">
      <c r="A157" s="425" t="str">
        <v>Fissaggi a muro</v>
      </c>
      <c r="B157" s="12">
        <v>157</v>
      </c>
      <c r="C157" s="12" t="str">
        <f t="shared" si="2"/>
        <v>Trads157</v>
      </c>
    </row>
    <row r="158" spans="1:3">
      <c r="A158" s="425" t="str">
        <v>Terminali non a muro</v>
      </c>
      <c r="B158" s="12">
        <v>158</v>
      </c>
      <c r="C158" s="12" t="str">
        <f t="shared" si="2"/>
        <v>Trads158</v>
      </c>
    </row>
    <row r="159" spans="1:3">
      <c r="A159" s="425" t="str">
        <v>Kit cancelletto</v>
      </c>
      <c r="B159" s="12">
        <v>159</v>
      </c>
      <c r="C159" s="12" t="str">
        <f t="shared" si="2"/>
        <v>Trads159</v>
      </c>
    </row>
    <row r="160" spans="1:3">
      <c r="A160" s="425" t="str">
        <v>Versione Alu</v>
      </c>
      <c r="B160" s="12">
        <v>160</v>
      </c>
      <c r="C160" s="12" t="str">
        <f t="shared" si="2"/>
        <v>Trads160</v>
      </c>
    </row>
    <row r="161" spans="1:3">
      <c r="A161" s="425" t="str">
        <v>Tipo Montante</v>
      </c>
      <c r="B161" s="12">
        <v>161</v>
      </c>
      <c r="C161" s="12" t="str">
        <f t="shared" si="2"/>
        <v>Trads161</v>
      </c>
    </row>
    <row r="162" spans="1:3">
      <c r="A162" s="425" t="str">
        <v>Arrodondamento ml</v>
      </c>
      <c r="B162" s="12">
        <v>162</v>
      </c>
      <c r="C162" s="12" t="str">
        <f t="shared" si="2"/>
        <v>Trads162</v>
      </c>
    </row>
    <row r="163" spans="1:3">
      <c r="A163" s="425" t="str">
        <v>Interasse Montanti</v>
      </c>
      <c r="B163" s="12">
        <v>163</v>
      </c>
      <c r="C163" s="12" t="str">
        <f t="shared" si="2"/>
        <v>Trads163</v>
      </c>
    </row>
    <row r="164" spans="1:3">
      <c r="A164" s="425" t="str">
        <v>N. montanti</v>
      </c>
      <c r="B164" s="12">
        <v>164</v>
      </c>
      <c r="C164" s="12" t="str">
        <f t="shared" si="2"/>
        <v>Trads164</v>
      </c>
    </row>
    <row r="165" spans="1:3">
      <c r="A165" s="425" t="str">
        <v>Input n. montanti</v>
      </c>
      <c r="B165" s="12">
        <v>165</v>
      </c>
      <c r="C165" s="12" t="str">
        <f t="shared" si="2"/>
        <v>Trads165</v>
      </c>
    </row>
    <row r="166" spans="1:3">
      <c r="A166" s="425" t="str">
        <v>Larghezza</v>
      </c>
      <c r="B166" s="12">
        <v>166</v>
      </c>
      <c r="C166" s="12" t="str">
        <f t="shared" si="2"/>
        <v>Trads166</v>
      </c>
    </row>
    <row r="167" spans="1:3">
      <c r="A167" s="425" t="str">
        <v>Peso Totale</v>
      </c>
      <c r="B167" s="12">
        <v>167</v>
      </c>
      <c r="C167" s="12" t="str">
        <f t="shared" si="2"/>
        <v>Trads167</v>
      </c>
    </row>
    <row r="168" spans="1:3">
      <c r="A168" s="425" t="str">
        <v>Costo Gestione Ordine</v>
      </c>
      <c r="B168" s="12">
        <v>168</v>
      </c>
      <c r="C168" s="12" t="str">
        <f t="shared" si="2"/>
        <v>Trads168</v>
      </c>
    </row>
    <row r="169" spans="1:3">
      <c r="A169" s="425" t="str">
        <v>Totale Prezzo Lordo</v>
      </c>
      <c r="B169" s="12">
        <v>169</v>
      </c>
      <c r="C169" s="12" t="str">
        <f t="shared" si="2"/>
        <v>Trads169</v>
      </c>
    </row>
    <row r="170" spans="1:3">
      <c r="A170" s="425" t="str">
        <v>Costo di trasporto</v>
      </c>
      <c r="B170" s="12">
        <v>170</v>
      </c>
      <c r="C170" s="12" t="str">
        <f t="shared" si="2"/>
        <v>Trads170</v>
      </c>
    </row>
    <row r="171" spans="1:3">
      <c r="A171" s="425" t="str">
        <v>Prezzo Netto/ml</v>
      </c>
      <c r="B171" s="12">
        <v>171</v>
      </c>
      <c r="C171" s="12" t="str">
        <f t="shared" si="2"/>
        <v>Trads171</v>
      </c>
    </row>
    <row r="172" spans="1:3">
      <c r="A172" s="425" t="str">
        <v>Costo Materiale + trasporto e gestione</v>
      </c>
      <c r="B172" s="12">
        <v>172</v>
      </c>
      <c r="C172" s="12" t="str">
        <f t="shared" si="2"/>
        <v>Trads172</v>
      </c>
    </row>
    <row r="173" spans="1:3">
      <c r="A173" s="425" t="str">
        <v>Costo Materiale + altre spese/ml</v>
      </c>
      <c r="B173" s="12">
        <v>173</v>
      </c>
      <c r="C173" s="12" t="str">
        <f t="shared" si="2"/>
        <v>Trads173</v>
      </c>
    </row>
    <row r="174" spans="1:3">
      <c r="A174" s="425" t="str">
        <v>Kit Impermeabilizzazione</v>
      </c>
      <c r="B174" s="12">
        <v>174</v>
      </c>
      <c r="C174" s="12" t="str">
        <f t="shared" si="2"/>
        <v>Trads174</v>
      </c>
    </row>
    <row r="175" spans="1:3">
      <c r="A175" s="425" t="str">
        <v>% Cuneo spessore/montanti</v>
      </c>
      <c r="B175" s="12">
        <v>175</v>
      </c>
      <c r="C175" s="12" t="str">
        <f t="shared" si="2"/>
        <v>Trads175</v>
      </c>
    </row>
    <row r="176" spans="1:3">
      <c r="A176" s="425" t="str">
        <v>Distanza Extra</v>
      </c>
      <c r="B176" s="12">
        <v>176</v>
      </c>
      <c r="C176" s="12" t="str">
        <f t="shared" si="2"/>
        <v>Trads176</v>
      </c>
    </row>
    <row r="177" spans="1:3">
      <c r="A177" s="425" t="str">
        <v>Tipo Base Verticale</v>
      </c>
      <c r="B177" s="12">
        <v>177</v>
      </c>
      <c r="C177" s="12" t="str">
        <f t="shared" si="2"/>
        <v>Trads177</v>
      </c>
    </row>
    <row r="178" spans="1:3">
      <c r="A178" s="425" t="str">
        <v>Dati Progetti</v>
      </c>
      <c r="B178" s="12">
        <v>178</v>
      </c>
      <c r="C178" s="12" t="str">
        <f t="shared" si="2"/>
        <v>Trads178</v>
      </c>
    </row>
    <row r="179" spans="1:3">
      <c r="A179" s="425" t="str">
        <v>Versione Plastica</v>
      </c>
      <c r="B179" s="12">
        <v>179</v>
      </c>
      <c r="C179" s="12" t="str">
        <f t="shared" si="2"/>
        <v>Trads179</v>
      </c>
    </row>
    <row r="180" spans="1:3">
      <c r="A180" s="425" t="str">
        <v>Cartaceo</v>
      </c>
      <c r="B180" s="12">
        <v>180</v>
      </c>
      <c r="C180" s="12" t="str">
        <f t="shared" si="2"/>
        <v>Trads180</v>
      </c>
    </row>
    <row r="181" spans="1:3">
      <c r="A181" s="425" t="str">
        <v>Online</v>
      </c>
      <c r="B181" s="12">
        <v>181</v>
      </c>
      <c r="C181" s="12" t="str">
        <f t="shared" si="2"/>
        <v>Trads181</v>
      </c>
    </row>
    <row r="182" spans="1:3">
      <c r="A182" s="425" t="str">
        <v>Manuale</v>
      </c>
      <c r="B182" s="12">
        <v>182</v>
      </c>
      <c r="C182" s="12" t="str">
        <f t="shared" si="2"/>
        <v>Trads182</v>
      </c>
    </row>
    <row r="183" spans="1:3">
      <c r="A183" s="425" t="str">
        <v>da spedire</v>
      </c>
      <c r="B183" s="12">
        <v>183</v>
      </c>
      <c r="C183" s="12" t="str">
        <f t="shared" si="2"/>
        <v>Trads183</v>
      </c>
    </row>
    <row r="184" spans="1:3">
      <c r="A184" s="425" t="str">
        <v>Interasse greche pannello</v>
      </c>
      <c r="B184" s="12">
        <v>184</v>
      </c>
      <c r="C184" s="12" t="str">
        <f t="shared" si="2"/>
        <v>Trads184</v>
      </c>
    </row>
    <row r="185" spans="1:3">
      <c r="A185" s="425" t="str">
        <v>Fissaggi Inclusi</v>
      </c>
      <c r="B185" s="12">
        <v>185</v>
      </c>
      <c r="C185" s="12" t="str">
        <f t="shared" si="2"/>
        <v>Trads185</v>
      </c>
    </row>
    <row r="186" spans="1:3">
      <c r="A186" s="425" t="str">
        <v>Rondella in EPDM</v>
      </c>
      <c r="B186" s="12">
        <v>186</v>
      </c>
      <c r="C186" s="12" t="str">
        <f t="shared" si="2"/>
        <v>Trads186</v>
      </c>
    </row>
    <row r="187" spans="1:3">
      <c r="A187" s="425" t="str">
        <v>TIPO DI CHIUSURA</v>
      </c>
      <c r="B187" s="12">
        <v>187</v>
      </c>
      <c r="C187" s="12" t="str">
        <f t="shared" si="2"/>
        <v>Trads187</v>
      </c>
    </row>
    <row r="188" spans="1:3">
      <c r="A188" s="425" t="str">
        <v>PORTA DI CHIUSURA</v>
      </c>
      <c r="B188" s="12">
        <v>188</v>
      </c>
      <c r="C188" s="12" t="str">
        <f t="shared" si="2"/>
        <v>Trads188</v>
      </c>
    </row>
    <row r="189" spans="1:3">
      <c r="A189" s="425" t="str">
        <v>SCALA SGANCIABILE</v>
      </c>
      <c r="B189" s="12">
        <v>189</v>
      </c>
      <c r="C189" s="12" t="str">
        <f t="shared" si="2"/>
        <v>Trads189</v>
      </c>
    </row>
    <row r="190" spans="1:3">
      <c r="A190" s="425" t="str">
        <v>Parallela alle greche</v>
      </c>
      <c r="B190" s="12">
        <v>190</v>
      </c>
      <c r="C190" s="12" t="str">
        <f t="shared" si="2"/>
        <v>Trads190</v>
      </c>
    </row>
    <row r="191" spans="1:3">
      <c r="A191" s="425" t="str">
        <v>Perpendicolare alle greche</v>
      </c>
      <c r="B191" s="12">
        <v>191</v>
      </c>
      <c r="C191" s="12" t="str">
        <f t="shared" si="2"/>
        <v>Trads191</v>
      </c>
    </row>
    <row r="192" spans="1:3">
      <c r="A192" s="425" t="str">
        <v>SISTEMA DI RIPOSO</v>
      </c>
      <c r="B192" s="12">
        <v>192</v>
      </c>
      <c r="C192" s="12" t="str">
        <f t="shared" si="2"/>
        <v>Trads192</v>
      </c>
    </row>
    <row r="193" spans="1:3">
      <c r="A193" s="425" t="str">
        <v>MODULO DI SDOPPIAMENTO</v>
      </c>
      <c r="B193" s="12">
        <v>193</v>
      </c>
      <c r="C193" s="12" t="str">
        <f t="shared" si="2"/>
        <v>Trads193</v>
      </c>
    </row>
    <row r="194" spans="1:3">
      <c r="A194" s="425" t="str">
        <v>DESTRA</v>
      </c>
      <c r="B194" s="12">
        <v>194</v>
      </c>
      <c r="C194" s="12" t="str">
        <f t="shared" si="2"/>
        <v>Trads194</v>
      </c>
    </row>
    <row r="195" spans="1:3">
      <c r="A195" s="425" t="str">
        <v>SINISTRA</v>
      </c>
      <c r="B195" s="12">
        <v>195</v>
      </c>
      <c r="C195" s="12" t="str">
        <f t="shared" ref="C195:C258" si="3">+_xlfn.CONCAT("Trads",B195)</f>
        <v>Trads195</v>
      </c>
    </row>
    <row r="196" spans="1:3">
      <c r="A196" s="425" t="str">
        <v>DIREZIONE PRIMO SDOPPIAMENTO</v>
      </c>
      <c r="B196" s="12">
        <v>196</v>
      </c>
      <c r="C196" s="12" t="str">
        <f t="shared" si="3"/>
        <v>Trads196</v>
      </c>
    </row>
    <row r="197" spans="1:3">
      <c r="A197" s="425" t="str">
        <v>PRIMO MODULO REMOVIBILE</v>
      </c>
      <c r="B197" s="12">
        <v>197</v>
      </c>
      <c r="C197" s="12" t="str">
        <f t="shared" si="3"/>
        <v>Trads197</v>
      </c>
    </row>
    <row r="198" spans="1:3">
      <c r="A198" s="425" t="str">
        <v>TIPO VERSIONE ACCIAIO</v>
      </c>
      <c r="B198" s="12">
        <v>198</v>
      </c>
      <c r="C198" s="12" t="str">
        <f t="shared" si="3"/>
        <v>Trads198</v>
      </c>
    </row>
    <row r="199" spans="1:3">
      <c r="A199" s="425" t="str">
        <v>ACCIAIO INOX A2</v>
      </c>
      <c r="B199" s="12">
        <v>199</v>
      </c>
      <c r="C199" s="12" t="str">
        <f t="shared" si="3"/>
        <v>Trads199</v>
      </c>
    </row>
    <row r="200" spans="1:3">
      <c r="A200" s="425" t="str">
        <v>ACCIAIO INOX A4</v>
      </c>
      <c r="B200" s="12">
        <v>200</v>
      </c>
      <c r="C200" s="12" t="str">
        <f t="shared" si="3"/>
        <v>Trads200</v>
      </c>
    </row>
    <row r="201" spans="1:3">
      <c r="A201" s="425" t="str">
        <v>RIMOVIBILE</v>
      </c>
      <c r="B201" s="12">
        <v>201</v>
      </c>
      <c r="C201" s="12" t="str">
        <f t="shared" si="3"/>
        <v>Trads201</v>
      </c>
    </row>
    <row r="202" spans="1:3">
      <c r="A202" s="425" t="str">
        <v>FISSO</v>
      </c>
      <c r="B202" s="12">
        <v>202</v>
      </c>
      <c r="C202" s="12" t="str">
        <f t="shared" si="3"/>
        <v>Trads202</v>
      </c>
    </row>
    <row r="203" spans="1:3">
      <c r="A203" s="425" t="str">
        <v>INTERMEDIO PASSANTE</v>
      </c>
      <c r="B203" s="12">
        <v>203</v>
      </c>
      <c r="C203" s="12" t="str">
        <f t="shared" si="3"/>
        <v>Trads203</v>
      </c>
    </row>
    <row r="204" spans="1:3">
      <c r="A204" s="425" t="str">
        <v>ALTEZZA NON SUFFICIENTE</v>
      </c>
      <c r="B204" s="12">
        <v>204</v>
      </c>
      <c r="C204" s="12" t="str">
        <f t="shared" si="3"/>
        <v>Trads204</v>
      </c>
    </row>
    <row r="205" spans="1:3">
      <c r="A205" s="425" t="str">
        <v>DETTAGLI</v>
      </c>
      <c r="B205" s="12">
        <v>205</v>
      </c>
      <c r="C205" s="12" t="str">
        <f t="shared" si="3"/>
        <v>Trads205</v>
      </c>
    </row>
    <row r="206" spans="1:3">
      <c r="A206" s="425" t="str">
        <v>CON PROTEZIONE</v>
      </c>
      <c r="B206" s="12">
        <v>206</v>
      </c>
      <c r="C206" s="12" t="str">
        <f t="shared" si="3"/>
        <v>Trads206</v>
      </c>
    </row>
    <row r="207" spans="1:3">
      <c r="A207" s="425" t="str">
        <v>Attenzione: senza estensione finale</v>
      </c>
      <c r="B207" s="12">
        <v>207</v>
      </c>
      <c r="C207" s="12" t="str">
        <f t="shared" si="3"/>
        <v>Trads207</v>
      </c>
    </row>
    <row r="208" spans="1:3">
      <c r="A208" s="425" t="str">
        <v>TRATTO FINALE</v>
      </c>
      <c r="B208" s="12">
        <v>208</v>
      </c>
      <c r="C208" s="12" t="str">
        <f t="shared" si="3"/>
        <v>Trads208</v>
      </c>
    </row>
    <row r="209" spans="1:3">
      <c r="A209" s="425" t="str">
        <v>ULTIMO SDOPPIAMENTO</v>
      </c>
      <c r="B209" s="12">
        <v>209</v>
      </c>
      <c r="C209" s="12" t="str">
        <f t="shared" si="3"/>
        <v>Trads209</v>
      </c>
    </row>
    <row r="210" spans="1:3">
      <c r="A210" s="425" t="str">
        <v>TRATTI INTERMEDI</v>
      </c>
      <c r="B210" s="12">
        <v>210</v>
      </c>
      <c r="C210" s="12" t="str">
        <f t="shared" si="3"/>
        <v>Trads210</v>
      </c>
    </row>
    <row r="211" spans="1:3">
      <c r="A211" s="425" t="str">
        <v>SDOPPIAMENTI INTERMEDI</v>
      </c>
      <c r="B211" s="12">
        <v>211</v>
      </c>
      <c r="C211" s="12" t="str">
        <f t="shared" si="3"/>
        <v>Trads211</v>
      </c>
    </row>
    <row r="212" spans="1:3">
      <c r="A212" s="425" t="str">
        <v>TRATTO INIZIALE</v>
      </c>
      <c r="B212" s="12">
        <v>212</v>
      </c>
      <c r="C212" s="12" t="str">
        <f t="shared" si="3"/>
        <v>Trads212</v>
      </c>
    </row>
    <row r="213" spans="1:3">
      <c r="A213" s="425" t="str">
        <v>Opzione Base</v>
      </c>
      <c r="B213" s="12">
        <v>213</v>
      </c>
      <c r="C213" s="12" t="str">
        <f t="shared" si="3"/>
        <v>Trads213</v>
      </c>
    </row>
    <row r="214" spans="1:3">
      <c r="A214" s="425" t="str">
        <v>ALTEZZA DA PIANO DI SBARCO</v>
      </c>
      <c r="B214" s="12">
        <v>214</v>
      </c>
      <c r="C214" s="12" t="str">
        <f t="shared" si="3"/>
        <v>Trads214</v>
      </c>
    </row>
    <row r="215" spans="1:3">
      <c r="A215" s="425" t="str">
        <v>Dati Progetto Insufficienti!!!</v>
      </c>
      <c r="B215" s="12">
        <v>215</v>
      </c>
      <c r="C215" s="12" t="str">
        <f t="shared" si="3"/>
        <v>Trads215</v>
      </c>
    </row>
    <row r="216" spans="1:3">
      <c r="A216" s="425" t="str">
        <v>Spessore Isolamento</v>
      </c>
      <c r="B216" s="12">
        <v>216</v>
      </c>
      <c r="C216" s="12" t="str">
        <f t="shared" si="3"/>
        <v>Trads216</v>
      </c>
    </row>
    <row r="217" spans="1:3">
      <c r="A217" s="425" t="str">
        <v>CANCELLA TUTTO</v>
      </c>
      <c r="B217" s="12">
        <v>217</v>
      </c>
      <c r="C217" s="12" t="str">
        <f t="shared" si="3"/>
        <v>Trads217</v>
      </c>
    </row>
    <row r="218" spans="1:3">
      <c r="A218" s="425" t="str">
        <v>LA VALUTA DELLA FATTURA E' IN</v>
      </c>
      <c r="B218" s="12">
        <v>218</v>
      </c>
      <c r="C218" s="12" t="str">
        <f t="shared" si="3"/>
        <v>Trads218</v>
      </c>
    </row>
    <row r="219" spans="1:3">
      <c r="A219" s="425" t="str">
        <v>LA VALUTA LOCALE E' SOLO INDICATIVA</v>
      </c>
      <c r="B219" s="12">
        <v>219</v>
      </c>
      <c r="C219" s="12" t="str">
        <f t="shared" si="3"/>
        <v>Trads219</v>
      </c>
    </row>
    <row r="220" spans="1:3">
      <c r="A220" s="425" t="str">
        <v>SISTEMI ANTICADUTA</v>
      </c>
      <c r="B220" s="12">
        <v>220</v>
      </c>
      <c r="C220" s="12" t="str">
        <f t="shared" si="3"/>
        <v>Trads220</v>
      </c>
    </row>
    <row r="221" spans="1:3">
      <c r="A221" s="425" t="str">
        <v>LINEE VITA E SISTEMA BINARIO</v>
      </c>
      <c r="B221" s="12">
        <v>221</v>
      </c>
      <c r="C221" s="12" t="str">
        <f t="shared" si="3"/>
        <v>Trads221</v>
      </c>
    </row>
    <row r="222" spans="1:3">
      <c r="A222" s="425" t="str">
        <v xml:space="preserve">PUNTI SINGOLI </v>
      </c>
      <c r="B222" s="12">
        <v>222</v>
      </c>
      <c r="C222" s="12" t="str">
        <f t="shared" si="3"/>
        <v>Trads222</v>
      </c>
    </row>
    <row r="223" spans="1:3">
      <c r="A223" s="425" t="str">
        <v>SUPPORTI E ACCESSORI</v>
      </c>
      <c r="B223" s="12">
        <v>223</v>
      </c>
      <c r="C223" s="12" t="str">
        <f t="shared" si="3"/>
        <v>Trads223</v>
      </c>
    </row>
    <row r="224" spans="1:3">
      <c r="A224" s="425" t="str">
        <v>Singolo articolo</v>
      </c>
      <c r="B224" s="12">
        <v>224</v>
      </c>
      <c r="C224" s="12" t="str">
        <f t="shared" si="3"/>
        <v>Trads224</v>
      </c>
    </row>
    <row r="225" spans="1:3">
      <c r="A225" s="425" t="str">
        <v>Gruppo prodotto</v>
      </c>
      <c r="B225" s="12">
        <v>225</v>
      </c>
      <c r="C225" s="12" t="str">
        <f t="shared" si="3"/>
        <v>Trads225</v>
      </c>
    </row>
    <row r="226" spans="1:3">
      <c r="A226" s="425" t="str">
        <v>Condizioni di pagamento</v>
      </c>
      <c r="B226" s="12">
        <v>226</v>
      </c>
      <c r="C226" s="12" t="str">
        <f t="shared" si="3"/>
        <v>Trads226</v>
      </c>
    </row>
    <row r="227" spans="1:3">
      <c r="A227" s="425" t="str">
        <v>Firma TS</v>
      </c>
      <c r="B227" s="12">
        <v>227</v>
      </c>
      <c r="C227" s="12" t="str">
        <f t="shared" si="3"/>
        <v>Trads227</v>
      </c>
    </row>
    <row r="228" spans="1:3">
      <c r="A228" s="425" t="str">
        <v>Firma ASM</v>
      </c>
      <c r="B228" s="12">
        <v>228</v>
      </c>
      <c r="C228" s="12" t="str">
        <f t="shared" si="3"/>
        <v>Trads228</v>
      </c>
    </row>
    <row r="229" spans="1:3">
      <c r="A229" s="425" t="str">
        <v>Firma Cliente</v>
      </c>
      <c r="B229" s="12">
        <v>229</v>
      </c>
      <c r="C229" s="12" t="str">
        <f t="shared" si="3"/>
        <v>Trads229</v>
      </c>
    </row>
    <row r="230" spans="1:3">
      <c r="A230" s="425" t="str">
        <v>Compila il campo nel foglio CRM</v>
      </c>
      <c r="B230" s="12">
        <v>230</v>
      </c>
      <c r="C230" s="12" t="str">
        <f t="shared" si="3"/>
        <v>Trads230</v>
      </c>
    </row>
    <row r="231" spans="1:3">
      <c r="A231" s="425" t="str">
        <v>FISSAGGI</v>
      </c>
      <c r="B231" s="12">
        <v>231</v>
      </c>
      <c r="C231" s="12" t="str">
        <f t="shared" si="3"/>
        <v>Trads231</v>
      </c>
    </row>
    <row r="232" spans="1:3">
      <c r="A232" s="425" t="str">
        <v>SISTEMI DI FISSAGGIO</v>
      </c>
      <c r="B232" s="12">
        <v>232</v>
      </c>
      <c r="C232" s="12" t="str">
        <f t="shared" si="3"/>
        <v>Trads232</v>
      </c>
    </row>
    <row r="233" spans="1:3" ht="25.5">
      <c r="A233" s="425" t="str">
        <v>TENUTA ALL'ARIA E IMPERMEABILIZZAZIONE</v>
      </c>
      <c r="B233" s="12">
        <v>233</v>
      </c>
      <c r="C233" s="12" t="str">
        <f t="shared" si="3"/>
        <v>Trads233</v>
      </c>
    </row>
    <row r="234" spans="1:3" ht="25.5">
      <c r="A234" s="425" t="str">
        <v>MEMBRANE E FRENI AL VAPORE, NASTRI, ACCESSORI</v>
      </c>
      <c r="B234" s="12">
        <v>234</v>
      </c>
      <c r="C234" s="12" t="str">
        <f t="shared" si="3"/>
        <v>Trads234</v>
      </c>
    </row>
    <row r="235" spans="1:3">
      <c r="A235" s="425" t="str">
        <v>DISPOSITIVI TEMPORANEI</v>
      </c>
      <c r="B235" s="12">
        <v>235</v>
      </c>
      <c r="C235" s="12" t="str">
        <f t="shared" si="3"/>
        <v>Trads235</v>
      </c>
    </row>
    <row r="236" spans="1:3">
      <c r="A236" s="425" t="str">
        <v>FUNE</v>
      </c>
      <c r="B236" s="12">
        <v>236</v>
      </c>
      <c r="C236" s="12" t="str">
        <f t="shared" si="3"/>
        <v>Trads236</v>
      </c>
    </row>
    <row r="237" spans="1:3">
      <c r="A237" s="425" t="str">
        <v>LINEA VITA NON RB</v>
      </c>
      <c r="B237" s="12">
        <v>237</v>
      </c>
      <c r="C237" s="12" t="str">
        <f t="shared" si="3"/>
        <v>Trads237</v>
      </c>
    </row>
    <row r="238" spans="1:3">
      <c r="A238" s="425" t="str">
        <v>PUNTI D'ANCORAGGIO NON RB</v>
      </c>
      <c r="B238" s="12">
        <v>238</v>
      </c>
      <c r="C238" s="12" t="str">
        <f t="shared" si="3"/>
        <v>Trads238</v>
      </c>
    </row>
    <row r="239" spans="1:3">
      <c r="A239" s="425" t="str">
        <v>RETI ANTICADUTA TEMPORANEE</v>
      </c>
      <c r="B239" s="12">
        <v>239</v>
      </c>
      <c r="C239" s="12" t="str">
        <f t="shared" si="3"/>
        <v>Trads239</v>
      </c>
    </row>
    <row r="240" spans="1:3">
      <c r="A240" s="425" t="str">
        <v>ALTRO</v>
      </c>
      <c r="B240" s="12">
        <v>240</v>
      </c>
      <c r="C240" s="12" t="str">
        <f t="shared" si="3"/>
        <v>Trads240</v>
      </c>
    </row>
    <row r="241" spans="1:3">
      <c r="A241" s="425" t="str">
        <v>CASCHI</v>
      </c>
      <c r="B241" s="12">
        <v>241</v>
      </c>
      <c r="C241" s="12" t="str">
        <f t="shared" si="3"/>
        <v>Trads241</v>
      </c>
    </row>
    <row r="242" spans="1:3">
      <c r="A242" s="425" t="str">
        <v>IMBRACATURE</v>
      </c>
      <c r="B242" s="12">
        <v>242</v>
      </c>
      <c r="C242" s="12" t="str">
        <f t="shared" si="3"/>
        <v>Trads242</v>
      </c>
    </row>
    <row r="243" spans="1:3">
      <c r="A243" s="425" t="str">
        <v>ANTICADUTA</v>
      </c>
      <c r="B243" s="12">
        <v>243</v>
      </c>
      <c r="C243" s="12" t="str">
        <f t="shared" si="3"/>
        <v>Trads243</v>
      </c>
    </row>
    <row r="244" spans="1:3">
      <c r="A244" s="425" t="str">
        <v>POSIZIONAMENTO</v>
      </c>
      <c r="B244" s="12">
        <v>244</v>
      </c>
      <c r="C244" s="12" t="str">
        <f t="shared" si="3"/>
        <v>Trads244</v>
      </c>
    </row>
    <row r="245" spans="1:3">
      <c r="A245" s="425" t="str">
        <v>DISCENSORI / SISTEMI DI RISALITA</v>
      </c>
      <c r="B245" s="12">
        <v>245</v>
      </c>
      <c r="C245" s="12" t="str">
        <f t="shared" si="3"/>
        <v>Trads245</v>
      </c>
    </row>
    <row r="246" spans="1:3">
      <c r="A246" s="425" t="str">
        <v>KIT</v>
      </c>
      <c r="B246" s="12">
        <v>246</v>
      </c>
      <c r="C246" s="12" t="str">
        <f t="shared" si="3"/>
        <v>Trads246</v>
      </c>
    </row>
    <row r="247" spans="1:3">
      <c r="A247" s="425" t="str">
        <v>CORDE</v>
      </c>
      <c r="B247" s="12">
        <v>247</v>
      </c>
      <c r="C247" s="12" t="str">
        <f t="shared" si="3"/>
        <v>Trads247</v>
      </c>
    </row>
    <row r="248" spans="1:3">
      <c r="A248" s="425" t="str">
        <v>DISPOSITIVI RETRATTILI</v>
      </c>
      <c r="B248" s="12">
        <v>248</v>
      </c>
      <c r="C248" s="12" t="str">
        <f t="shared" si="3"/>
        <v>Trads248</v>
      </c>
    </row>
    <row r="249" spans="1:3">
      <c r="A249" s="425" t="str">
        <v>ANCORAGGI TEMPORANEI</v>
      </c>
      <c r="B249" s="12">
        <v>249</v>
      </c>
      <c r="C249" s="12" t="str">
        <f t="shared" si="3"/>
        <v>Trads249</v>
      </c>
    </row>
    <row r="250" spans="1:3">
      <c r="A250" s="425" t="str">
        <v>CONNETTORI</v>
      </c>
      <c r="B250" s="12">
        <v>250</v>
      </c>
      <c r="C250" s="12" t="str">
        <f t="shared" si="3"/>
        <v>Trads250</v>
      </c>
    </row>
    <row r="251" spans="1:3">
      <c r="A251" s="425" t="str">
        <v>CARRUCOLE</v>
      </c>
      <c r="B251" s="12">
        <v>251</v>
      </c>
      <c r="C251" s="12" t="str">
        <f t="shared" si="3"/>
        <v>Trads251</v>
      </c>
    </row>
    <row r="252" spans="1:3">
      <c r="A252" s="425" t="str">
        <v>TRIPODI</v>
      </c>
      <c r="B252" s="12">
        <v>252</v>
      </c>
      <c r="C252" s="12" t="str">
        <f t="shared" si="3"/>
        <v>Trads252</v>
      </c>
    </row>
    <row r="253" spans="1:3">
      <c r="A253" s="425" t="str">
        <v>GRU</v>
      </c>
      <c r="B253" s="12">
        <v>253</v>
      </c>
      <c r="C253" s="12" t="str">
        <f t="shared" si="3"/>
        <v>Trads253</v>
      </c>
    </row>
    <row r="254" spans="1:3">
      <c r="A254" s="425" t="str">
        <v>E</v>
      </c>
      <c r="B254" s="12">
        <v>254</v>
      </c>
      <c r="C254" s="12" t="str">
        <f t="shared" si="3"/>
        <v>Trads254</v>
      </c>
    </row>
    <row r="255" spans="1:3">
      <c r="A255" s="425" t="str">
        <v>ANCORANTE AVVITABILE</v>
      </c>
      <c r="B255" s="12">
        <v>255</v>
      </c>
      <c r="C255" s="12" t="str">
        <f t="shared" si="3"/>
        <v>Trads255</v>
      </c>
    </row>
    <row r="256" spans="1:3">
      <c r="A256" s="425" t="str">
        <v>TASSELLI MECCANICI</v>
      </c>
      <c r="B256" s="12">
        <v>256</v>
      </c>
      <c r="C256" s="12" t="str">
        <f t="shared" si="3"/>
        <v>Trads256</v>
      </c>
    </row>
    <row r="257" spans="1:3">
      <c r="A257" s="425" t="str">
        <v>RESINE E COLLE</v>
      </c>
      <c r="B257" s="12">
        <v>257</v>
      </c>
      <c r="C257" s="12" t="str">
        <f t="shared" si="3"/>
        <v>Trads257</v>
      </c>
    </row>
    <row r="258" spans="1:3">
      <c r="A258" s="425" t="str">
        <v>BARRE FILETTATE</v>
      </c>
      <c r="B258" s="12">
        <v>258</v>
      </c>
      <c r="C258" s="12" t="str">
        <f t="shared" si="3"/>
        <v>Trads258</v>
      </c>
    </row>
    <row r="259" spans="1:3">
      <c r="A259" s="425" t="str">
        <v>DOPPIO TRAFILATO SU MISURA</v>
      </c>
      <c r="B259" s="12">
        <v>259</v>
      </c>
      <c r="C259" s="12" t="str">
        <f t="shared" ref="C259:C322" si="4">+_xlfn.CONCAT("Trads",B259)</f>
        <v>Trads259</v>
      </c>
    </row>
    <row r="260" spans="1:3">
      <c r="A260" s="425" t="str">
        <v>CONTROVENTO</v>
      </c>
      <c r="B260" s="12">
        <v>260</v>
      </c>
      <c r="C260" s="12" t="str">
        <f t="shared" si="4"/>
        <v>Trads260</v>
      </c>
    </row>
    <row r="261" spans="1:3">
      <c r="A261" s="425" t="str">
        <v>% Viti a grano in più</v>
      </c>
      <c r="B261" s="12">
        <v>261</v>
      </c>
      <c r="C261" s="12" t="str">
        <f t="shared" si="4"/>
        <v>Trads261</v>
      </c>
    </row>
    <row r="262" spans="1:3">
      <c r="A262" s="425" t="str">
        <v>PROFONDITA' OSTACOLO</v>
      </c>
      <c r="B262" s="12">
        <v>262</v>
      </c>
      <c r="C262" s="12" t="str">
        <f t="shared" si="4"/>
        <v>Trads262</v>
      </c>
    </row>
    <row r="263" spans="1:3">
      <c r="A263" s="425" t="str">
        <v>SPESSORE CORDOLO</v>
      </c>
      <c r="B263" s="12">
        <v>263</v>
      </c>
      <c r="C263" s="12" t="str">
        <f t="shared" si="4"/>
        <v>Trads263</v>
      </c>
    </row>
    <row r="264" spans="1:3">
      <c r="A264" s="425" t="str">
        <v>SCALETTA DI DISCESA</v>
      </c>
      <c r="B264" s="12">
        <v>264</v>
      </c>
      <c r="C264" s="12" t="str">
        <f t="shared" si="4"/>
        <v>Trads264</v>
      </c>
    </row>
    <row r="265" spans="1:3">
      <c r="A265" s="425" t="str">
        <v>(E) Maggiore di 450 mm</v>
      </c>
      <c r="B265" s="12">
        <v>265</v>
      </c>
      <c r="C265" s="12" t="str">
        <f t="shared" si="4"/>
        <v>Trads265</v>
      </c>
    </row>
    <row r="266" spans="1:3">
      <c r="A266" s="425" t="str">
        <v>Minore di</v>
      </c>
      <c r="B266" s="12">
        <v>266</v>
      </c>
      <c r="C266" s="12" t="str">
        <f t="shared" si="4"/>
        <v>Trads266</v>
      </c>
    </row>
    <row r="267" spans="1:3">
      <c r="A267" s="425" t="str">
        <v>Su richiesta SBARCO maggiore di 750 mm</v>
      </c>
      <c r="B267" s="12">
        <v>267</v>
      </c>
      <c r="C267" s="12" t="str">
        <f t="shared" si="4"/>
        <v>Trads267</v>
      </c>
    </row>
    <row r="268" spans="1:3">
      <c r="A268" s="425" t="str">
        <v>Su richiesta</v>
      </c>
      <c r="B268" s="12">
        <v>268</v>
      </c>
      <c r="C268" s="12" t="str">
        <f t="shared" si="4"/>
        <v>Trads268</v>
      </c>
    </row>
    <row r="269" spans="1:3">
      <c r="A269" s="425" t="str">
        <v>Opzione Default</v>
      </c>
      <c r="B269" s="12">
        <v>269</v>
      </c>
      <c r="C269" s="12" t="str">
        <f t="shared" si="4"/>
        <v>Trads269</v>
      </c>
    </row>
    <row r="270" spans="1:3">
      <c r="A270" s="425" t="str">
        <v>Necessaria protezione</v>
      </c>
      <c r="B270" s="12">
        <v>270</v>
      </c>
      <c r="C270" s="12" t="str">
        <f t="shared" si="4"/>
        <v>Trads270</v>
      </c>
    </row>
    <row r="271" spans="1:3">
      <c r="A271" s="425" t="str">
        <v>Forma</v>
      </c>
      <c r="B271" s="12">
        <v>271</v>
      </c>
      <c r="C271" s="12" t="str">
        <f t="shared" si="4"/>
        <v>Trads271</v>
      </c>
    </row>
    <row r="272" spans="1:3">
      <c r="A272" s="425" t="str">
        <v>Rettangolare</v>
      </c>
      <c r="B272" s="12">
        <v>272</v>
      </c>
      <c r="C272" s="12" t="str">
        <f t="shared" si="4"/>
        <v>Trads272</v>
      </c>
    </row>
    <row r="273" spans="1:3">
      <c r="A273" s="425" t="str">
        <v>Circolare</v>
      </c>
      <c r="B273" s="12">
        <v>273</v>
      </c>
      <c r="C273" s="12" t="str">
        <f t="shared" si="4"/>
        <v>Trads273</v>
      </c>
    </row>
    <row r="274" spans="1:3">
      <c r="A274" s="425" t="str">
        <v>Raggio</v>
      </c>
      <c r="B274" s="12">
        <v>274</v>
      </c>
      <c r="C274" s="12" t="str">
        <f t="shared" si="4"/>
        <v>Trads274</v>
      </c>
    </row>
    <row r="275" spans="1:3">
      <c r="A275" s="425" t="str">
        <v>Larghezza</v>
      </c>
      <c r="B275" s="12">
        <v>275</v>
      </c>
      <c r="C275" s="12" t="str">
        <f t="shared" si="4"/>
        <v>Trads275</v>
      </c>
    </row>
    <row r="276" spans="1:3">
      <c r="A276" s="425" t="str">
        <v>Lunghezza</v>
      </c>
      <c r="B276" s="12">
        <v>276</v>
      </c>
      <c r="C276" s="12" t="str">
        <f t="shared" si="4"/>
        <v>Trads276</v>
      </c>
    </row>
    <row r="277" spans="1:3">
      <c r="A277" s="425" t="str">
        <v>Superficie (mq)</v>
      </c>
      <c r="B277" s="12">
        <v>277</v>
      </c>
      <c r="C277" s="12" t="str">
        <f t="shared" si="4"/>
        <v>Trads277</v>
      </c>
    </row>
    <row r="278" spans="1:3">
      <c r="A278" s="425" t="str">
        <v>Codice per richiesta</v>
      </c>
      <c r="B278" s="12">
        <v>278</v>
      </c>
      <c r="C278" s="12" t="str">
        <f t="shared" si="4"/>
        <v>Trads278</v>
      </c>
    </row>
    <row r="279" spans="1:3">
      <c r="A279" s="425" t="str">
        <v>Dimensioni</v>
      </c>
      <c r="B279" s="12">
        <v>279</v>
      </c>
      <c r="C279" s="12" t="str">
        <f t="shared" si="4"/>
        <v>Trads279</v>
      </c>
    </row>
    <row r="280" spans="1:3">
      <c r="A280" s="425" t="str">
        <v>Superficie Totale (mq)</v>
      </c>
      <c r="B280" s="12">
        <v>280</v>
      </c>
      <c r="C280" s="12" t="str">
        <f t="shared" si="4"/>
        <v>Trads280</v>
      </c>
    </row>
    <row r="281" spans="1:3">
      <c r="A281" s="425" t="str">
        <v>Superficie Subtotale (mq)</v>
      </c>
      <c r="B281" s="12">
        <v>281</v>
      </c>
      <c r="C281" s="12" t="str">
        <f t="shared" si="4"/>
        <v>Trads281</v>
      </c>
    </row>
    <row r="282" spans="1:3">
      <c r="A282" s="425" t="str">
        <v>Prezzo Listino/mq</v>
      </c>
      <c r="B282" s="12">
        <v>282</v>
      </c>
      <c r="C282" s="12" t="str">
        <f t="shared" si="4"/>
        <v>Trads282</v>
      </c>
    </row>
    <row r="283" spans="1:3">
      <c r="A283" s="425" t="str">
        <v>Prezzo Netto/mq</v>
      </c>
      <c r="B283" s="12">
        <v>283</v>
      </c>
      <c r="C283" s="12" t="str">
        <f t="shared" si="4"/>
        <v>Trads283</v>
      </c>
    </row>
    <row r="284" spans="1:3">
      <c r="A284" s="425" t="str">
        <v>Costo Materiale + altre spese/mq</v>
      </c>
      <c r="B284" s="12">
        <v>284</v>
      </c>
      <c r="C284" s="12" t="str">
        <f t="shared" si="4"/>
        <v>Trads284</v>
      </c>
    </row>
    <row r="285" spans="1:3">
      <c r="A285" s="425" t="str">
        <v>Tipo Installazione</v>
      </c>
      <c r="B285" s="12">
        <v>285</v>
      </c>
      <c r="C285" s="12" t="str">
        <f t="shared" si="4"/>
        <v>Trads285</v>
      </c>
    </row>
    <row r="286" spans="1:3">
      <c r="A286" s="425" t="str">
        <v>Schema</v>
      </c>
      <c r="B286" s="12">
        <v>286</v>
      </c>
      <c r="C286" s="12" t="str">
        <f t="shared" si="4"/>
        <v>Trads286</v>
      </c>
    </row>
    <row r="287" spans="1:3">
      <c r="A287" s="425" t="str">
        <v>Listello 40x50 mm</v>
      </c>
      <c r="B287" s="12">
        <v>287</v>
      </c>
      <c r="C287" s="12" t="str">
        <f t="shared" si="4"/>
        <v>Trads287</v>
      </c>
    </row>
    <row r="288" spans="1:3">
      <c r="A288" s="425" t="str">
        <v>Omega "L" 30x30x2 mm</v>
      </c>
      <c r="B288" s="12">
        <v>288</v>
      </c>
      <c r="C288" s="12" t="str">
        <f t="shared" si="4"/>
        <v>Trads288</v>
      </c>
    </row>
    <row r="289" spans="1:3">
      <c r="A289" s="425" t="str">
        <v>LBB4030 40x3 mm</v>
      </c>
      <c r="B289" s="12">
        <v>289</v>
      </c>
      <c r="C289" s="12" t="str">
        <f t="shared" si="4"/>
        <v>Trads289</v>
      </c>
    </row>
    <row r="290" spans="1:3">
      <c r="A290" s="425" t="str">
        <v>Accessorio di Fissaggio</v>
      </c>
      <c r="B290" s="12">
        <v>290</v>
      </c>
      <c r="C290" s="12" t="str">
        <f t="shared" si="4"/>
        <v>Trads290</v>
      </c>
    </row>
    <row r="291" spans="1:3">
      <c r="A291" s="425" t="str">
        <v>PRODOTTO SU RICHIESTA</v>
      </c>
      <c r="B291" s="12">
        <v>291</v>
      </c>
      <c r="C291" s="12" t="str">
        <f t="shared" si="4"/>
        <v>Trads291</v>
      </c>
    </row>
    <row r="292" spans="1:3">
      <c r="A292" s="425" t="str">
        <v>TIPO DI SISTEMA</v>
      </c>
      <c r="B292" s="12">
        <v>292</v>
      </c>
      <c r="C292" s="12" t="str">
        <f t="shared" si="4"/>
        <v>Trads292</v>
      </c>
    </row>
    <row r="293" spans="1:3">
      <c r="A293" s="425" t="str">
        <v>Altezza Supporto</v>
      </c>
      <c r="B293" s="12">
        <v>293</v>
      </c>
      <c r="C293" s="12" t="str">
        <f t="shared" si="4"/>
        <v>Trads293</v>
      </c>
    </row>
    <row r="294" spans="1:3">
      <c r="A294" s="425" t="str">
        <v>Scaletta</v>
      </c>
      <c r="B294" s="12">
        <v>294</v>
      </c>
      <c r="C294" s="12" t="str">
        <f t="shared" si="4"/>
        <v>Trads294</v>
      </c>
    </row>
    <row r="295" spans="1:3">
      <c r="A295" s="425" t="str">
        <v>Con ancoranti</v>
      </c>
      <c r="B295" s="12">
        <v>295</v>
      </c>
      <c r="C295" s="12" t="str">
        <f t="shared" si="4"/>
        <v>Trads295</v>
      </c>
    </row>
    <row r="296" spans="1:3">
      <c r="A296" s="425" t="str">
        <v>Con zavorra</v>
      </c>
      <c r="B296" s="12">
        <v>296</v>
      </c>
      <c r="C296" s="12" t="str">
        <f t="shared" si="4"/>
        <v>Trads296</v>
      </c>
    </row>
    <row r="297" spans="1:3">
      <c r="A297" s="425" t="str">
        <v>Piano + parapetti</v>
      </c>
      <c r="B297" s="12">
        <v>297</v>
      </c>
      <c r="C297" s="12" t="str">
        <f t="shared" si="4"/>
        <v>Trads297</v>
      </c>
    </row>
    <row r="298" spans="1:3">
      <c r="A298" s="425" t="str">
        <v>Utile</v>
      </c>
      <c r="B298" s="12">
        <v>298</v>
      </c>
      <c r="C298" s="12" t="str">
        <f t="shared" si="4"/>
        <v>Trads298</v>
      </c>
    </row>
    <row r="299" spans="1:3">
      <c r="A299" s="425" t="str">
        <v>Altezza</v>
      </c>
      <c r="B299" s="12">
        <v>299</v>
      </c>
      <c r="C299" s="12" t="str">
        <f t="shared" si="4"/>
        <v>Trads299</v>
      </c>
    </row>
    <row r="300" spans="1:3">
      <c r="A300" s="425" t="str">
        <v>Linea Vita Orizzontale</v>
      </c>
      <c r="B300" s="12">
        <v>300</v>
      </c>
      <c r="C300" s="12" t="str">
        <f t="shared" si="4"/>
        <v>Trads300</v>
      </c>
    </row>
    <row r="301" spans="1:3">
      <c r="A301" s="425" t="str">
        <v>Scalini</v>
      </c>
      <c r="B301" s="12">
        <v>301</v>
      </c>
      <c r="C301" s="12" t="str">
        <f t="shared" si="4"/>
        <v>Trads301</v>
      </c>
    </row>
    <row r="302" spans="1:3">
      <c r="A302" s="425" t="str">
        <v>Compilare</v>
      </c>
      <c r="B302" s="12">
        <v>302</v>
      </c>
      <c r="C302" s="12" t="str">
        <f t="shared" si="4"/>
        <v>Trads302</v>
      </c>
    </row>
    <row r="303" spans="1:3">
      <c r="A303" s="425" t="str">
        <v>Materiale</v>
      </c>
      <c r="B303" s="12">
        <v>303</v>
      </c>
      <c r="C303" s="12" t="str">
        <f t="shared" si="4"/>
        <v>Trads303</v>
      </c>
    </row>
    <row r="304" spans="1:3">
      <c r="A304" s="425" t="str">
        <v>Su copertura con Shed</v>
      </c>
      <c r="B304" s="12">
        <v>304</v>
      </c>
      <c r="C304" s="12" t="str">
        <f t="shared" si="4"/>
        <v>Trads304</v>
      </c>
    </row>
    <row r="305" spans="1:3">
      <c r="A305" s="425" t="str">
        <v>Su copertura piana</v>
      </c>
      <c r="B305" s="12">
        <v>305</v>
      </c>
      <c r="C305" s="12" t="str">
        <f t="shared" si="4"/>
        <v>Trads305</v>
      </c>
    </row>
    <row r="306" spans="1:3">
      <c r="A306" s="425" t="str">
        <v>Su copertura con pannelli sandwich</v>
      </c>
      <c r="B306" s="12">
        <v>306</v>
      </c>
      <c r="C306" s="12" t="str">
        <f t="shared" si="4"/>
        <v>Trads306</v>
      </c>
    </row>
    <row r="307" spans="1:3">
      <c r="A307" s="425" t="str">
        <v>Freccia/altezza Shed</v>
      </c>
      <c r="B307" s="12">
        <v>307</v>
      </c>
      <c r="C307" s="12" t="str">
        <f t="shared" si="4"/>
        <v>Trads307</v>
      </c>
    </row>
    <row r="308" spans="1:3">
      <c r="A308" s="425" t="str">
        <v>Interasse Travi Y</v>
      </c>
      <c r="B308" s="12">
        <v>308</v>
      </c>
      <c r="C308" s="12" t="str">
        <f t="shared" si="4"/>
        <v>Trads308</v>
      </c>
    </row>
    <row r="309" spans="1:3">
      <c r="A309" s="425" t="str">
        <v>Direzione Passerella</v>
      </c>
      <c r="B309" s="12">
        <v>309</v>
      </c>
      <c r="C309" s="12" t="str">
        <f t="shared" si="4"/>
        <v>Trads309</v>
      </c>
    </row>
    <row r="310" spans="1:3">
      <c r="A310" s="425" t="str">
        <v>Distanziamento da muro</v>
      </c>
      <c r="B310" s="12">
        <v>310</v>
      </c>
      <c r="C310" s="12" t="str">
        <f t="shared" si="4"/>
        <v>Trads310</v>
      </c>
    </row>
    <row r="311" spans="1:3">
      <c r="A311" s="425" t="str">
        <v>Interasse mensole</v>
      </c>
      <c r="B311" s="12">
        <v>311</v>
      </c>
      <c r="C311" s="12" t="str">
        <f t="shared" si="4"/>
        <v>Trads311</v>
      </c>
    </row>
    <row r="312" spans="1:3">
      <c r="A312" s="425" t="str">
        <v>Accesso laterale</v>
      </c>
      <c r="B312" s="12">
        <v>312</v>
      </c>
      <c r="C312" s="12" t="str">
        <f t="shared" si="4"/>
        <v>Trads312</v>
      </c>
    </row>
    <row r="313" spans="1:3">
      <c r="A313" s="425" t="str">
        <v>Accesso frontale</v>
      </c>
      <c r="B313" s="12">
        <v>313</v>
      </c>
      <c r="C313" s="12" t="str">
        <f t="shared" si="4"/>
        <v>Trads313</v>
      </c>
    </row>
    <row r="314" spans="1:3">
      <c r="A314" s="425" t="str">
        <v>Parapetti Laterali</v>
      </c>
      <c r="B314" s="12">
        <v>314</v>
      </c>
      <c r="C314" s="12" t="str">
        <f t="shared" si="4"/>
        <v>Trads314</v>
      </c>
    </row>
    <row r="315" spans="1:3">
      <c r="A315" s="425" t="str">
        <v>Singolo lato</v>
      </c>
      <c r="B315" s="12">
        <v>315</v>
      </c>
      <c r="C315" s="12" t="str">
        <f t="shared" si="4"/>
        <v>Trads315</v>
      </c>
    </row>
    <row r="316" spans="1:3">
      <c r="A316" s="425" t="str">
        <v>Entrambi i lati</v>
      </c>
      <c r="B316" s="12">
        <v>316</v>
      </c>
      <c r="C316" s="12" t="str">
        <f t="shared" si="4"/>
        <v>Trads316</v>
      </c>
    </row>
    <row r="317" spans="1:3">
      <c r="A317" s="425" t="str">
        <v>Tipo Accesso</v>
      </c>
      <c r="B317" s="12">
        <v>317</v>
      </c>
      <c r="C317" s="12" t="str">
        <f t="shared" si="4"/>
        <v>Trads317</v>
      </c>
    </row>
    <row r="318" spans="1:3">
      <c r="A318" s="425" t="str">
        <v>Shed</v>
      </c>
      <c r="B318" s="12">
        <v>318</v>
      </c>
      <c r="C318" s="12" t="str">
        <f t="shared" si="4"/>
        <v>Trads318</v>
      </c>
    </row>
    <row r="319" spans="1:3">
      <c r="A319" s="425" t="str">
        <v>ALTEZZA TOTALE SCALA</v>
      </c>
      <c r="B319" s="12">
        <v>319</v>
      </c>
      <c r="C319" s="12" t="str">
        <f t="shared" si="4"/>
        <v>Trads319</v>
      </c>
    </row>
    <row r="320" spans="1:3">
      <c r="A320" s="425" t="str">
        <v>PENULTIMO TRATTO INTERMEDIO</v>
      </c>
      <c r="B320" s="12">
        <v>320</v>
      </c>
      <c r="C320" s="12" t="str">
        <f t="shared" si="4"/>
        <v>Trads320</v>
      </c>
    </row>
    <row r="321" spans="1:3">
      <c r="A321" s="425" t="str">
        <v xml:space="preserve">SDOPPIAMENTO </v>
      </c>
      <c r="B321" s="12">
        <v>321</v>
      </c>
      <c r="C321" s="12" t="str">
        <f t="shared" si="4"/>
        <v>Trads321</v>
      </c>
    </row>
    <row r="322" spans="1:3">
      <c r="A322" s="425" t="str">
        <v>CANCELLETTO DI SBARCO</v>
      </c>
      <c r="B322" s="12">
        <v>322</v>
      </c>
      <c r="C322" s="12" t="str">
        <f t="shared" si="4"/>
        <v>Trads322</v>
      </c>
    </row>
    <row r="323" spans="1:3">
      <c r="A323" s="425" t="str">
        <v>FISSAGGIO SU LAMIERA</v>
      </c>
      <c r="B323" s="12">
        <v>323</v>
      </c>
      <c r="C323" s="12" t="str">
        <f t="shared" ref="C323:C386" si="5">+_xlfn.CONCAT("Trads",B323)</f>
        <v>Trads323</v>
      </c>
    </row>
    <row r="324" spans="1:3">
      <c r="A324" s="425" t="str">
        <v>DOPPIA CHIUSURA</v>
      </c>
      <c r="B324" s="12">
        <v>324</v>
      </c>
      <c r="C324" s="12" t="str">
        <f t="shared" si="5"/>
        <v>Trads324</v>
      </c>
    </row>
    <row r="325" spans="1:3">
      <c r="A325" s="425" t="str">
        <v>GRADINO DI USCITA</v>
      </c>
      <c r="B325" s="12">
        <v>325</v>
      </c>
      <c r="C325" s="12" t="str">
        <f t="shared" si="5"/>
        <v>Trads325</v>
      </c>
    </row>
    <row r="326" spans="1:3">
      <c r="A326" s="425" t="str">
        <v>IMPERMEABILIZZAZIONE</v>
      </c>
      <c r="B326" s="12">
        <v>326</v>
      </c>
      <c r="C326" s="12" t="str">
        <f t="shared" si="5"/>
        <v>Trads326</v>
      </c>
    </row>
    <row r="327" spans="1:3">
      <c r="A327" s="425" t="str">
        <v>NUMERO DI ACCESSI</v>
      </c>
      <c r="B327" s="12">
        <v>327</v>
      </c>
      <c r="C327" s="12" t="str">
        <f t="shared" si="5"/>
        <v>Trads327</v>
      </c>
    </row>
    <row r="328" spans="1:3">
      <c r="A328" s="425" t="str">
        <v>TRASPORTO E GESTIONE</v>
      </c>
      <c r="B328" s="12">
        <v>328</v>
      </c>
      <c r="C328" s="12" t="str">
        <f t="shared" si="5"/>
        <v>Trads328</v>
      </c>
    </row>
    <row r="329" spans="1:3">
      <c r="A329" s="425" t="str">
        <v>NASCONDI/SCOPRI CODICI</v>
      </c>
      <c r="B329" s="12">
        <v>329</v>
      </c>
      <c r="C329" s="12" t="str">
        <f t="shared" si="5"/>
        <v>Trads329</v>
      </c>
    </row>
    <row r="330" spans="1:3">
      <c r="A330" s="425" t="str">
        <v>Fine</v>
      </c>
      <c r="B330" s="12">
        <v>330</v>
      </c>
      <c r="C330" s="12" t="str">
        <f t="shared" si="5"/>
        <v>Trads330</v>
      </c>
    </row>
    <row r="331" spans="1:3">
      <c r="A331" s="425" t="str">
        <v>Loop</v>
      </c>
      <c r="B331" s="12">
        <v>331</v>
      </c>
      <c r="C331" s="12" t="str">
        <f t="shared" si="5"/>
        <v>Trads331</v>
      </c>
    </row>
    <row r="332" spans="1:3">
      <c r="A332" s="425" t="str">
        <v>Angolo</v>
      </c>
      <c r="B332" s="12">
        <v>332</v>
      </c>
      <c r="C332" s="12" t="str">
        <f t="shared" si="5"/>
        <v>Trads332</v>
      </c>
    </row>
    <row r="333" spans="1:3">
      <c r="A333" s="425" t="str">
        <v>Coordinate</v>
      </c>
      <c r="B333" s="12">
        <v>333</v>
      </c>
      <c r="C333" s="12" t="str">
        <f t="shared" si="5"/>
        <v>Trads333</v>
      </c>
    </row>
    <row r="334" spans="1:3">
      <c r="A334" s="425" t="str">
        <v>Posizione Supporto #</v>
      </c>
      <c r="B334" s="12">
        <v>334</v>
      </c>
      <c r="C334" s="12" t="str">
        <f t="shared" si="5"/>
        <v>Trads334</v>
      </c>
    </row>
    <row r="335" spans="1:3">
      <c r="A335" s="425" t="str">
        <v>Partenza</v>
      </c>
      <c r="B335" s="12">
        <v>335</v>
      </c>
      <c r="C335" s="12" t="str">
        <f t="shared" si="5"/>
        <v>Trads335</v>
      </c>
    </row>
    <row r="336" spans="1:3">
      <c r="A336" s="425" t="str">
        <v>Partenza Condivisa</v>
      </c>
      <c r="B336" s="12">
        <v>336</v>
      </c>
      <c r="C336" s="12" t="str">
        <f t="shared" si="5"/>
        <v>Trads336</v>
      </c>
    </row>
    <row r="337" spans="1:3">
      <c r="A337" s="425" t="str">
        <v>Da Supporto #</v>
      </c>
      <c r="B337" s="12">
        <v>337</v>
      </c>
      <c r="C337" s="12" t="str">
        <f t="shared" si="5"/>
        <v>Trads337</v>
      </c>
    </row>
    <row r="338" spans="1:3">
      <c r="A338" s="425" t="str">
        <v>A Supporto #</v>
      </c>
      <c r="B338" s="12">
        <v>338</v>
      </c>
      <c r="C338" s="12" t="str">
        <f t="shared" si="5"/>
        <v>Trads338</v>
      </c>
    </row>
    <row r="339" spans="1:3">
      <c r="A339" s="425" t="str">
        <v>Direzione</v>
      </c>
      <c r="B339" s="12">
        <v>339</v>
      </c>
      <c r="C339" s="12" t="str">
        <f t="shared" si="5"/>
        <v>Trads339</v>
      </c>
    </row>
    <row r="340" spans="1:3">
      <c r="A340" s="425" t="str">
        <v>Lunghezza</v>
      </c>
      <c r="B340" s="12">
        <v>340</v>
      </c>
      <c r="C340" s="12" t="str">
        <f t="shared" si="5"/>
        <v>Trads340</v>
      </c>
    </row>
    <row r="341" spans="1:3">
      <c r="A341" s="425" t="str">
        <v>Angolo°</v>
      </c>
      <c r="B341" s="12">
        <v>341</v>
      </c>
      <c r="C341" s="12" t="str">
        <f t="shared" si="5"/>
        <v>Trads341</v>
      </c>
    </row>
    <row r="342" spans="1:3">
      <c r="A342" s="425" t="str">
        <v>Lunghezza misurata</v>
      </c>
      <c r="B342" s="12">
        <v>342</v>
      </c>
      <c r="C342" s="12" t="str">
        <f t="shared" si="5"/>
        <v>Trads342</v>
      </c>
    </row>
    <row r="343" spans="1:3">
      <c r="A343" s="425" t="str">
        <v>Partenza dall'ultimo</v>
      </c>
      <c r="B343" s="12">
        <v>343</v>
      </c>
      <c r="C343" s="12" t="str">
        <f t="shared" si="5"/>
        <v>Trads343</v>
      </c>
    </row>
    <row r="344" spans="1:3">
      <c r="A344" s="425" t="str">
        <v>Attenzione al numero montanti</v>
      </c>
      <c r="B344" s="12">
        <v>344</v>
      </c>
      <c r="C344" s="12" t="str">
        <f t="shared" si="5"/>
        <v>Trads344</v>
      </c>
    </row>
    <row r="345" spans="1:3">
      <c r="A345" s="425" t="str">
        <v>ZINCATO A CALDO</v>
      </c>
      <c r="B345" s="12">
        <v>345</v>
      </c>
      <c r="C345" s="12" t="str">
        <f t="shared" si="5"/>
        <v>Trads345</v>
      </c>
    </row>
    <row r="346" spans="1:3">
      <c r="A346" s="425" t="str">
        <v>Arrivo e Ripartenza</v>
      </c>
      <c r="B346" s="12">
        <v>346</v>
      </c>
      <c r="C346" s="12" t="str">
        <f t="shared" si="5"/>
        <v>Trads346</v>
      </c>
    </row>
    <row r="347" spans="1:3">
      <c r="A347" s="425" t="str">
        <v>Esporta E-Service/Margin</v>
      </c>
      <c r="B347" s="12">
        <v>347</v>
      </c>
      <c r="C347" s="12" t="str">
        <f t="shared" si="5"/>
        <v>Trads347</v>
      </c>
    </row>
    <row r="348" spans="1:3">
      <c r="A348" s="425" t="str">
        <v>Terminali</v>
      </c>
      <c r="B348" s="12">
        <v>348</v>
      </c>
      <c r="C348" s="12" t="str">
        <f t="shared" si="5"/>
        <v>Trads348</v>
      </c>
    </row>
    <row r="349" spans="1:3">
      <c r="A349" s="425" t="str">
        <v>Tutti i supporti</v>
      </c>
      <c r="B349" s="12">
        <v>349</v>
      </c>
      <c r="C349" s="12" t="str">
        <f t="shared" si="5"/>
        <v>Trads349</v>
      </c>
    </row>
    <row r="350" spans="1:3">
      <c r="A350" s="425" t="str">
        <v>n. supporti</v>
      </c>
      <c r="B350" s="12">
        <v>350</v>
      </c>
      <c r="C350" s="12" t="str">
        <f t="shared" si="5"/>
        <v>Trads350</v>
      </c>
    </row>
    <row r="351" spans="1:3">
      <c r="A351" s="425" t="str">
        <v>Materiale Navetta</v>
      </c>
      <c r="B351" s="12">
        <v>351</v>
      </c>
      <c r="C351" s="12" t="str">
        <f t="shared" si="5"/>
        <v>Trads351</v>
      </c>
    </row>
    <row r="352" spans="1:3">
      <c r="A352" s="425" t="str">
        <v>Copia Sconto</v>
      </c>
      <c r="B352" s="12">
        <v>352</v>
      </c>
      <c r="C352" s="12" t="str">
        <f t="shared" si="5"/>
        <v>Trads352</v>
      </c>
    </row>
    <row r="353" spans="1:3">
      <c r="A353" s="425" t="str">
        <v>SISTEMA NON COMPLETO DEI TERMINALI</v>
      </c>
      <c r="B353" s="12">
        <v>353</v>
      </c>
      <c r="C353" s="12" t="str">
        <f t="shared" si="5"/>
        <v>Trads353</v>
      </c>
    </row>
    <row r="354" spans="1:3">
      <c r="A354" s="425" t="str">
        <v>X-LAM</v>
      </c>
      <c r="B354" s="12">
        <v>354</v>
      </c>
      <c r="C354" s="12" t="str">
        <f t="shared" si="5"/>
        <v>Trads354</v>
      </c>
    </row>
    <row r="355" spans="1:3">
      <c r="A355" s="425" t="str">
        <v>CEMENTO ALVEOLARE</v>
      </c>
      <c r="B355" s="12">
        <v>355</v>
      </c>
      <c r="C355" s="12" t="str">
        <f t="shared" si="5"/>
        <v>Trads355</v>
      </c>
    </row>
    <row r="356" spans="1:3">
      <c r="A356" s="425" t="str">
        <v>LAMIERA TRAPEZOIDALE</v>
      </c>
      <c r="B356" s="12">
        <v>356</v>
      </c>
      <c r="C356" s="12" t="str">
        <f t="shared" si="5"/>
        <v>Trads356</v>
      </c>
    </row>
    <row r="357" spans="1:3">
      <c r="A357" s="425" t="str">
        <v>Spessori Minimi</v>
      </c>
      <c r="B357" s="12">
        <v>357</v>
      </c>
      <c r="C357" s="12" t="str">
        <f t="shared" si="5"/>
        <v>Trads357</v>
      </c>
    </row>
    <row r="358" spans="1:3">
      <c r="A358" s="425" t="str">
        <v>METODO DI LAVORO</v>
      </c>
      <c r="B358" s="12">
        <v>358</v>
      </c>
      <c r="C358" s="12" t="str">
        <f t="shared" si="5"/>
        <v>Trads358</v>
      </c>
    </row>
    <row r="359" spans="1:3">
      <c r="A359" s="425" t="str">
        <v xml:space="preserve">SOSPENSIONE </v>
      </c>
      <c r="B359" s="12">
        <v>359</v>
      </c>
      <c r="C359" s="12" t="str">
        <f t="shared" si="5"/>
        <v>Trads359</v>
      </c>
    </row>
    <row r="360" spans="1:3">
      <c r="A360" s="425" t="str">
        <v>ANTICADUTA</v>
      </c>
      <c r="B360" s="12">
        <v>360</v>
      </c>
      <c r="C360" s="12" t="str">
        <f t="shared" si="5"/>
        <v>Trads360</v>
      </c>
    </row>
    <row r="361" spans="1:3">
      <c r="A361" s="425" t="str">
        <v>TRATTENUTA</v>
      </c>
      <c r="B361" s="12">
        <v>361</v>
      </c>
      <c r="C361" s="12" t="str">
        <f t="shared" si="5"/>
        <v>Trads361</v>
      </c>
    </row>
    <row r="362" spans="1:3">
      <c r="A362" s="425" t="str">
        <v>Esterno</v>
      </c>
      <c r="B362" s="12">
        <v>362</v>
      </c>
      <c r="C362" s="12" t="str">
        <f t="shared" si="5"/>
        <v>Trads362</v>
      </c>
    </row>
    <row r="363" spans="1:3">
      <c r="A363" s="425" t="str">
        <v>Interno</v>
      </c>
      <c r="B363" s="12">
        <v>363</v>
      </c>
      <c r="C363" s="12" t="str">
        <f t="shared" si="5"/>
        <v>Trads363</v>
      </c>
    </row>
    <row r="364" spans="1:3">
      <c r="A364" s="425" t="str">
        <v>DOPPIA APERTURA</v>
      </c>
      <c r="B364" s="12">
        <v>364</v>
      </c>
      <c r="C364" s="12" t="str">
        <f t="shared" si="5"/>
        <v>Trads364</v>
      </c>
    </row>
    <row r="365" spans="1:3">
      <c r="A365" s="425" t="str">
        <v>Posizione Etichetta</v>
      </c>
      <c r="B365" s="12">
        <v>365</v>
      </c>
      <c r="C365" s="12" t="str">
        <f t="shared" si="5"/>
        <v>Trads365</v>
      </c>
    </row>
    <row r="366" spans="1:3">
      <c r="A366" s="425" t="str">
        <v>Angolo Etichetta</v>
      </c>
      <c r="B366" s="12">
        <v>366</v>
      </c>
      <c r="C366" s="12" t="str">
        <f t="shared" si="5"/>
        <v>Trads366</v>
      </c>
    </row>
    <row r="367" spans="1:3">
      <c r="A367" s="425" t="str">
        <v>CANCELLA DISEGNO</v>
      </c>
      <c r="B367" s="12">
        <v>367</v>
      </c>
      <c r="C367" s="12" t="str">
        <f t="shared" si="5"/>
        <v>Trads367</v>
      </c>
    </row>
    <row r="368" spans="1:3">
      <c r="A368" s="425" t="str">
        <v>Posizione Etichette</v>
      </c>
      <c r="B368" s="12">
        <v>368</v>
      </c>
      <c r="C368" s="12" t="str">
        <f t="shared" si="5"/>
        <v>Trads368</v>
      </c>
    </row>
    <row r="369" spans="1:3">
      <c r="A369" s="425" t="str">
        <v>fissaggi non inclusi</v>
      </c>
      <c r="B369" s="12">
        <v>369</v>
      </c>
      <c r="C369" s="12" t="str">
        <f t="shared" si="5"/>
        <v>Trads369</v>
      </c>
    </row>
    <row r="370" spans="1:3">
      <c r="A370" s="425" t="str">
        <v>vite</v>
      </c>
      <c r="B370" s="12">
        <v>370</v>
      </c>
      <c r="C370" s="12" t="str">
        <f t="shared" si="5"/>
        <v>Trads370</v>
      </c>
    </row>
    <row r="371" spans="1:3">
      <c r="A371" s="425" t="str">
        <v>bullone</v>
      </c>
      <c r="B371" s="12">
        <v>371</v>
      </c>
      <c r="C371" s="12" t="str">
        <f t="shared" si="5"/>
        <v>Trads371</v>
      </c>
    </row>
    <row r="372" spans="1:3">
      <c r="A372" s="425" t="str">
        <v>Stampa</v>
      </c>
      <c r="B372" s="12">
        <v>372</v>
      </c>
      <c r="C372" s="12" t="str">
        <f t="shared" si="5"/>
        <v>Trads372</v>
      </c>
    </row>
    <row r="373" spans="1:3">
      <c r="A373" s="425" t="str">
        <v>Relazione Tecnica</v>
      </c>
      <c r="B373" s="12">
        <v>373</v>
      </c>
      <c r="C373" s="12" t="str">
        <f t="shared" si="5"/>
        <v>Trads373</v>
      </c>
    </row>
    <row r="374" spans="1:3">
      <c r="A374" s="425">
        <v>0</v>
      </c>
      <c r="B374" s="12">
        <v>374</v>
      </c>
      <c r="C374" s="12" t="str">
        <f t="shared" si="5"/>
        <v>Trads374</v>
      </c>
    </row>
    <row r="375" spans="1:3">
      <c r="A375" s="425">
        <v>0</v>
      </c>
      <c r="B375" s="12">
        <v>375</v>
      </c>
      <c r="C375" s="12" t="str">
        <f t="shared" si="5"/>
        <v>Trads375</v>
      </c>
    </row>
    <row r="376" spans="1:3">
      <c r="A376" s="425">
        <v>0</v>
      </c>
      <c r="B376" s="12">
        <v>376</v>
      </c>
      <c r="C376" s="12" t="str">
        <f t="shared" si="5"/>
        <v>Trads376</v>
      </c>
    </row>
    <row r="377" spans="1:3">
      <c r="A377" s="425">
        <v>0</v>
      </c>
      <c r="B377" s="12">
        <v>377</v>
      </c>
      <c r="C377" s="12" t="str">
        <f t="shared" si="5"/>
        <v>Trads377</v>
      </c>
    </row>
    <row r="378" spans="1:3">
      <c r="A378" s="425">
        <v>0</v>
      </c>
      <c r="B378" s="12">
        <v>378</v>
      </c>
      <c r="C378" s="12" t="str">
        <f t="shared" si="5"/>
        <v>Trads378</v>
      </c>
    </row>
    <row r="379" spans="1:3">
      <c r="A379" s="425">
        <v>0</v>
      </c>
      <c r="B379" s="12">
        <v>379</v>
      </c>
      <c r="C379" s="12" t="str">
        <f t="shared" si="5"/>
        <v>Trads379</v>
      </c>
    </row>
    <row r="380" spans="1:3">
      <c r="A380" s="425">
        <v>0</v>
      </c>
      <c r="B380" s="12">
        <v>380</v>
      </c>
      <c r="C380" s="12" t="str">
        <f t="shared" si="5"/>
        <v>Trads380</v>
      </c>
    </row>
    <row r="381" spans="1:3">
      <c r="A381" s="425">
        <v>0</v>
      </c>
      <c r="B381" s="12">
        <v>381</v>
      </c>
      <c r="C381" s="12" t="str">
        <f t="shared" si="5"/>
        <v>Trads381</v>
      </c>
    </row>
    <row r="382" spans="1:3">
      <c r="A382" s="425">
        <v>0</v>
      </c>
      <c r="B382" s="12">
        <v>382</v>
      </c>
      <c r="C382" s="12" t="str">
        <f t="shared" si="5"/>
        <v>Trads382</v>
      </c>
    </row>
    <row r="383" spans="1:3">
      <c r="A383" s="425">
        <v>0</v>
      </c>
      <c r="B383" s="12">
        <v>383</v>
      </c>
      <c r="C383" s="12" t="str">
        <f t="shared" si="5"/>
        <v>Trads383</v>
      </c>
    </row>
    <row r="384" spans="1:3">
      <c r="A384" s="425">
        <v>0</v>
      </c>
      <c r="B384" s="12">
        <v>384</v>
      </c>
      <c r="C384" s="12" t="str">
        <f t="shared" si="5"/>
        <v>Trads384</v>
      </c>
    </row>
    <row r="385" spans="1:3">
      <c r="A385" s="425">
        <v>0</v>
      </c>
      <c r="B385" s="12">
        <v>385</v>
      </c>
      <c r="C385" s="12" t="str">
        <f t="shared" si="5"/>
        <v>Trads385</v>
      </c>
    </row>
    <row r="386" spans="1:3">
      <c r="A386" s="425">
        <v>0</v>
      </c>
      <c r="B386" s="12">
        <v>386</v>
      </c>
      <c r="C386" s="12" t="str">
        <f t="shared" si="5"/>
        <v>Trads386</v>
      </c>
    </row>
    <row r="387" spans="1:3">
      <c r="A387" s="425">
        <v>0</v>
      </c>
      <c r="B387" s="12">
        <v>387</v>
      </c>
      <c r="C387" s="12" t="str">
        <f t="shared" ref="C387:C450" si="6">+_xlfn.CONCAT("Trads",B387)</f>
        <v>Trads387</v>
      </c>
    </row>
    <row r="388" spans="1:3">
      <c r="A388" s="425">
        <v>0</v>
      </c>
      <c r="B388" s="12">
        <v>388</v>
      </c>
      <c r="C388" s="12" t="str">
        <f t="shared" si="6"/>
        <v>Trads388</v>
      </c>
    </row>
    <row r="389" spans="1:3">
      <c r="A389" s="425">
        <v>0</v>
      </c>
      <c r="B389" s="12">
        <v>389</v>
      </c>
      <c r="C389" s="12" t="str">
        <f t="shared" si="6"/>
        <v>Trads389</v>
      </c>
    </row>
    <row r="390" spans="1:3">
      <c r="A390" s="425">
        <v>0</v>
      </c>
      <c r="B390" s="12">
        <v>390</v>
      </c>
      <c r="C390" s="12" t="str">
        <f t="shared" si="6"/>
        <v>Trads390</v>
      </c>
    </row>
    <row r="391" spans="1:3">
      <c r="A391" s="425">
        <v>0</v>
      </c>
      <c r="B391" s="12">
        <v>391</v>
      </c>
      <c r="C391" s="12" t="str">
        <f t="shared" si="6"/>
        <v>Trads391</v>
      </c>
    </row>
    <row r="392" spans="1:3">
      <c r="A392" s="425">
        <v>0</v>
      </c>
      <c r="B392" s="12">
        <v>392</v>
      </c>
      <c r="C392" s="12" t="str">
        <f t="shared" si="6"/>
        <v>Trads392</v>
      </c>
    </row>
    <row r="393" spans="1:3">
      <c r="A393" s="425">
        <v>0</v>
      </c>
      <c r="B393" s="12">
        <v>393</v>
      </c>
      <c r="C393" s="12" t="str">
        <f t="shared" si="6"/>
        <v>Trads393</v>
      </c>
    </row>
    <row r="394" spans="1:3">
      <c r="A394" s="425">
        <v>0</v>
      </c>
      <c r="B394" s="12">
        <v>394</v>
      </c>
      <c r="C394" s="12" t="str">
        <f t="shared" si="6"/>
        <v>Trads394</v>
      </c>
    </row>
    <row r="395" spans="1:3">
      <c r="A395" s="425">
        <v>0</v>
      </c>
      <c r="B395" s="12">
        <v>395</v>
      </c>
      <c r="C395" s="12" t="str">
        <f t="shared" si="6"/>
        <v>Trads395</v>
      </c>
    </row>
    <row r="396" spans="1:3">
      <c r="A396" s="425">
        <v>0</v>
      </c>
      <c r="B396" s="12">
        <v>396</v>
      </c>
      <c r="C396" s="12" t="str">
        <f t="shared" si="6"/>
        <v>Trads396</v>
      </c>
    </row>
    <row r="397" spans="1:3">
      <c r="A397" s="425">
        <v>0</v>
      </c>
      <c r="B397" s="12">
        <v>397</v>
      </c>
      <c r="C397" s="12" t="str">
        <f t="shared" si="6"/>
        <v>Trads397</v>
      </c>
    </row>
    <row r="398" spans="1:3">
      <c r="A398" s="425">
        <v>0</v>
      </c>
      <c r="B398" s="12">
        <v>398</v>
      </c>
      <c r="C398" s="12" t="str">
        <f t="shared" si="6"/>
        <v>Trads398</v>
      </c>
    </row>
    <row r="399" spans="1:3">
      <c r="A399" s="425">
        <v>0</v>
      </c>
      <c r="B399" s="12">
        <v>399</v>
      </c>
      <c r="C399" s="12" t="str">
        <f t="shared" si="6"/>
        <v>Trads399</v>
      </c>
    </row>
    <row r="400" spans="1:3">
      <c r="A400" s="425">
        <v>0</v>
      </c>
      <c r="B400" s="12">
        <v>400</v>
      </c>
      <c r="C400" s="12" t="str">
        <f t="shared" si="6"/>
        <v>Trads400</v>
      </c>
    </row>
    <row r="401" spans="1:3">
      <c r="A401" s="425">
        <v>0</v>
      </c>
      <c r="B401" s="12">
        <v>401</v>
      </c>
      <c r="C401" s="12" t="str">
        <f t="shared" si="6"/>
        <v>Trads401</v>
      </c>
    </row>
    <row r="402" spans="1:3">
      <c r="A402" s="425">
        <v>0</v>
      </c>
      <c r="B402" s="12">
        <v>402</v>
      </c>
      <c r="C402" s="12" t="str">
        <f t="shared" si="6"/>
        <v>Trads402</v>
      </c>
    </row>
    <row r="403" spans="1:3">
      <c r="A403" s="425">
        <v>0</v>
      </c>
      <c r="B403" s="12">
        <v>403</v>
      </c>
      <c r="C403" s="12" t="str">
        <f t="shared" si="6"/>
        <v>Trads403</v>
      </c>
    </row>
    <row r="404" spans="1:3">
      <c r="A404" s="425">
        <v>0</v>
      </c>
      <c r="B404" s="12">
        <v>404</v>
      </c>
      <c r="C404" s="12" t="str">
        <f t="shared" si="6"/>
        <v>Trads404</v>
      </c>
    </row>
    <row r="405" spans="1:3">
      <c r="A405" s="425">
        <v>0</v>
      </c>
      <c r="B405" s="12">
        <v>405</v>
      </c>
      <c r="C405" s="12" t="str">
        <f t="shared" si="6"/>
        <v>Trads405</v>
      </c>
    </row>
    <row r="406" spans="1:3">
      <c r="A406" s="425">
        <v>0</v>
      </c>
      <c r="B406" s="12">
        <v>406</v>
      </c>
      <c r="C406" s="12" t="str">
        <f t="shared" si="6"/>
        <v>Trads406</v>
      </c>
    </row>
    <row r="407" spans="1:3">
      <c r="A407" s="425">
        <v>0</v>
      </c>
      <c r="B407" s="12">
        <v>407</v>
      </c>
      <c r="C407" s="12" t="str">
        <f t="shared" si="6"/>
        <v>Trads407</v>
      </c>
    </row>
    <row r="408" spans="1:3">
      <c r="A408" s="425">
        <v>0</v>
      </c>
      <c r="B408" s="12">
        <v>408</v>
      </c>
      <c r="C408" s="12" t="str">
        <f t="shared" si="6"/>
        <v>Trads408</v>
      </c>
    </row>
    <row r="409" spans="1:3">
      <c r="A409" s="425">
        <v>0</v>
      </c>
      <c r="B409" s="12">
        <v>409</v>
      </c>
      <c r="C409" s="12" t="str">
        <f t="shared" si="6"/>
        <v>Trads409</v>
      </c>
    </row>
    <row r="410" spans="1:3">
      <c r="A410" s="425">
        <v>0</v>
      </c>
      <c r="B410" s="12">
        <v>410</v>
      </c>
      <c r="C410" s="12" t="str">
        <f t="shared" si="6"/>
        <v>Trads410</v>
      </c>
    </row>
    <row r="411" spans="1:3">
      <c r="A411" s="425">
        <v>0</v>
      </c>
      <c r="B411" s="12">
        <v>411</v>
      </c>
      <c r="C411" s="12" t="str">
        <f t="shared" si="6"/>
        <v>Trads411</v>
      </c>
    </row>
    <row r="412" spans="1:3">
      <c r="A412" s="425">
        <v>0</v>
      </c>
      <c r="B412" s="12">
        <v>412</v>
      </c>
      <c r="C412" s="12" t="str">
        <f t="shared" si="6"/>
        <v>Trads412</v>
      </c>
    </row>
    <row r="413" spans="1:3">
      <c r="A413" s="425">
        <v>0</v>
      </c>
      <c r="B413" s="12">
        <v>413</v>
      </c>
      <c r="C413" s="12" t="str">
        <f t="shared" si="6"/>
        <v>Trads413</v>
      </c>
    </row>
    <row r="414" spans="1:3">
      <c r="A414" s="425">
        <v>0</v>
      </c>
      <c r="B414" s="12">
        <v>414</v>
      </c>
      <c r="C414" s="12" t="str">
        <f t="shared" si="6"/>
        <v>Trads414</v>
      </c>
    </row>
    <row r="415" spans="1:3">
      <c r="A415" s="425">
        <v>0</v>
      </c>
      <c r="B415" s="12">
        <v>415</v>
      </c>
      <c r="C415" s="12" t="str">
        <f t="shared" si="6"/>
        <v>Trads415</v>
      </c>
    </row>
    <row r="416" spans="1:3">
      <c r="A416" s="425">
        <v>0</v>
      </c>
      <c r="B416" s="12">
        <v>416</v>
      </c>
      <c r="C416" s="12" t="str">
        <f t="shared" si="6"/>
        <v>Trads416</v>
      </c>
    </row>
    <row r="417" spans="1:3">
      <c r="A417" s="425">
        <v>0</v>
      </c>
      <c r="B417" s="12">
        <v>417</v>
      </c>
      <c r="C417" s="12" t="str">
        <f t="shared" si="6"/>
        <v>Trads417</v>
      </c>
    </row>
    <row r="418" spans="1:3">
      <c r="A418" s="425">
        <v>0</v>
      </c>
      <c r="B418" s="12">
        <v>418</v>
      </c>
      <c r="C418" s="12" t="str">
        <f t="shared" si="6"/>
        <v>Trads418</v>
      </c>
    </row>
    <row r="419" spans="1:3">
      <c r="A419" s="425">
        <v>0</v>
      </c>
      <c r="B419" s="12">
        <v>419</v>
      </c>
      <c r="C419" s="12" t="str">
        <f t="shared" si="6"/>
        <v>Trads419</v>
      </c>
    </row>
    <row r="420" spans="1:3">
      <c r="A420" s="425">
        <v>0</v>
      </c>
      <c r="B420" s="12">
        <v>420</v>
      </c>
      <c r="C420" s="12" t="str">
        <f t="shared" si="6"/>
        <v>Trads420</v>
      </c>
    </row>
    <row r="421" spans="1:3">
      <c r="A421" s="425">
        <v>0</v>
      </c>
      <c r="B421" s="12">
        <v>421</v>
      </c>
      <c r="C421" s="12" t="str">
        <f t="shared" si="6"/>
        <v>Trads421</v>
      </c>
    </row>
    <row r="422" spans="1:3">
      <c r="A422" s="425">
        <v>0</v>
      </c>
      <c r="B422" s="12">
        <v>422</v>
      </c>
      <c r="C422" s="12" t="str">
        <f t="shared" si="6"/>
        <v>Trads422</v>
      </c>
    </row>
    <row r="423" spans="1:3">
      <c r="A423" s="425">
        <v>0</v>
      </c>
      <c r="B423" s="12">
        <v>423</v>
      </c>
      <c r="C423" s="12" t="str">
        <f t="shared" si="6"/>
        <v>Trads423</v>
      </c>
    </row>
    <row r="424" spans="1:3">
      <c r="A424" s="425">
        <v>0</v>
      </c>
      <c r="B424" s="12">
        <v>424</v>
      </c>
      <c r="C424" s="12" t="str">
        <f t="shared" si="6"/>
        <v>Trads424</v>
      </c>
    </row>
    <row r="425" spans="1:3">
      <c r="A425" s="425">
        <v>0</v>
      </c>
      <c r="B425" s="12">
        <v>425</v>
      </c>
      <c r="C425" s="12" t="str">
        <f t="shared" si="6"/>
        <v>Trads425</v>
      </c>
    </row>
    <row r="426" spans="1:3">
      <c r="A426" s="425">
        <v>0</v>
      </c>
      <c r="B426" s="12">
        <v>426</v>
      </c>
      <c r="C426" s="12" t="str">
        <f t="shared" si="6"/>
        <v>Trads426</v>
      </c>
    </row>
    <row r="427" spans="1:3">
      <c r="A427" s="425">
        <v>0</v>
      </c>
      <c r="B427" s="12">
        <v>427</v>
      </c>
      <c r="C427" s="12" t="str">
        <f t="shared" si="6"/>
        <v>Trads427</v>
      </c>
    </row>
    <row r="428" spans="1:3">
      <c r="A428" s="425">
        <v>0</v>
      </c>
      <c r="B428" s="12">
        <v>428</v>
      </c>
      <c r="C428" s="12" t="str">
        <f t="shared" si="6"/>
        <v>Trads428</v>
      </c>
    </row>
    <row r="429" spans="1:3">
      <c r="A429" s="425">
        <v>0</v>
      </c>
      <c r="B429" s="12">
        <v>429</v>
      </c>
      <c r="C429" s="12" t="str">
        <f t="shared" si="6"/>
        <v>Trads429</v>
      </c>
    </row>
    <row r="430" spans="1:3">
      <c r="A430" s="425">
        <v>0</v>
      </c>
      <c r="B430" s="12">
        <v>430</v>
      </c>
      <c r="C430" s="12" t="str">
        <f t="shared" si="6"/>
        <v>Trads430</v>
      </c>
    </row>
    <row r="431" spans="1:3">
      <c r="A431" s="425">
        <v>0</v>
      </c>
      <c r="B431" s="12">
        <v>431</v>
      </c>
      <c r="C431" s="12" t="str">
        <f t="shared" si="6"/>
        <v>Trads431</v>
      </c>
    </row>
    <row r="432" spans="1:3">
      <c r="A432" s="425">
        <v>0</v>
      </c>
      <c r="B432" s="12">
        <v>432</v>
      </c>
      <c r="C432" s="12" t="str">
        <f t="shared" si="6"/>
        <v>Trads432</v>
      </c>
    </row>
    <row r="433" spans="1:3">
      <c r="A433" s="425">
        <v>0</v>
      </c>
      <c r="B433" s="12">
        <v>433</v>
      </c>
      <c r="C433" s="12" t="str">
        <f t="shared" si="6"/>
        <v>Trads433</v>
      </c>
    </row>
    <row r="434" spans="1:3">
      <c r="A434" s="425">
        <v>0</v>
      </c>
      <c r="B434" s="12">
        <v>434</v>
      </c>
      <c r="C434" s="12" t="str">
        <f t="shared" si="6"/>
        <v>Trads434</v>
      </c>
    </row>
    <row r="435" spans="1:3">
      <c r="A435" s="425">
        <v>0</v>
      </c>
      <c r="B435" s="12">
        <v>435</v>
      </c>
      <c r="C435" s="12" t="str">
        <f t="shared" si="6"/>
        <v>Trads435</v>
      </c>
    </row>
    <row r="436" spans="1:3">
      <c r="A436" s="425">
        <v>0</v>
      </c>
      <c r="B436" s="12">
        <v>436</v>
      </c>
      <c r="C436" s="12" t="str">
        <f t="shared" si="6"/>
        <v>Trads436</v>
      </c>
    </row>
    <row r="437" spans="1:3">
      <c r="A437" s="425">
        <v>0</v>
      </c>
      <c r="B437" s="12">
        <v>437</v>
      </c>
      <c r="C437" s="12" t="str">
        <f t="shared" si="6"/>
        <v>Trads437</v>
      </c>
    </row>
    <row r="438" spans="1:3">
      <c r="A438" s="425">
        <v>0</v>
      </c>
      <c r="B438" s="12">
        <v>438</v>
      </c>
      <c r="C438" s="12" t="str">
        <f t="shared" si="6"/>
        <v>Trads438</v>
      </c>
    </row>
    <row r="439" spans="1:3">
      <c r="A439" s="425">
        <v>0</v>
      </c>
      <c r="B439" s="12">
        <v>439</v>
      </c>
      <c r="C439" s="12" t="str">
        <f t="shared" si="6"/>
        <v>Trads439</v>
      </c>
    </row>
    <row r="440" spans="1:3">
      <c r="A440" s="425">
        <v>0</v>
      </c>
      <c r="B440" s="12">
        <v>440</v>
      </c>
      <c r="C440" s="12" t="str">
        <f t="shared" si="6"/>
        <v>Trads440</v>
      </c>
    </row>
    <row r="441" spans="1:3">
      <c r="A441" s="425">
        <v>0</v>
      </c>
      <c r="B441" s="12">
        <v>441</v>
      </c>
      <c r="C441" s="12" t="str">
        <f t="shared" si="6"/>
        <v>Trads441</v>
      </c>
    </row>
    <row r="442" spans="1:3">
      <c r="A442" s="425">
        <v>0</v>
      </c>
      <c r="B442" s="12">
        <v>442</v>
      </c>
      <c r="C442" s="12" t="str">
        <f t="shared" si="6"/>
        <v>Trads442</v>
      </c>
    </row>
    <row r="443" spans="1:3">
      <c r="A443" s="425">
        <v>0</v>
      </c>
      <c r="B443" s="12">
        <v>443</v>
      </c>
      <c r="C443" s="12" t="str">
        <f t="shared" si="6"/>
        <v>Trads443</v>
      </c>
    </row>
    <row r="444" spans="1:3">
      <c r="A444" s="425">
        <v>0</v>
      </c>
      <c r="B444" s="12">
        <v>444</v>
      </c>
      <c r="C444" s="12" t="str">
        <f t="shared" si="6"/>
        <v>Trads444</v>
      </c>
    </row>
    <row r="445" spans="1:3">
      <c r="A445" s="425">
        <v>0</v>
      </c>
      <c r="B445" s="12">
        <v>445</v>
      </c>
      <c r="C445" s="12" t="str">
        <f t="shared" si="6"/>
        <v>Trads445</v>
      </c>
    </row>
    <row r="446" spans="1:3">
      <c r="A446" s="425">
        <v>0</v>
      </c>
      <c r="B446" s="12">
        <v>446</v>
      </c>
      <c r="C446" s="12" t="str">
        <f t="shared" si="6"/>
        <v>Trads446</v>
      </c>
    </row>
    <row r="447" spans="1:3">
      <c r="A447" s="425">
        <v>0</v>
      </c>
      <c r="B447" s="12">
        <v>447</v>
      </c>
      <c r="C447" s="12" t="str">
        <f t="shared" si="6"/>
        <v>Trads447</v>
      </c>
    </row>
    <row r="448" spans="1:3">
      <c r="A448" s="425">
        <v>0</v>
      </c>
      <c r="B448" s="12">
        <v>448</v>
      </c>
      <c r="C448" s="12" t="str">
        <f t="shared" si="6"/>
        <v>Trads448</v>
      </c>
    </row>
    <row r="449" spans="1:3">
      <c r="A449" s="425">
        <v>0</v>
      </c>
      <c r="B449" s="12">
        <v>449</v>
      </c>
      <c r="C449" s="12" t="str">
        <f t="shared" si="6"/>
        <v>Trads449</v>
      </c>
    </row>
    <row r="450" spans="1:3">
      <c r="A450" s="425">
        <v>0</v>
      </c>
      <c r="B450" s="12">
        <v>450</v>
      </c>
      <c r="C450" s="12" t="str">
        <f t="shared" si="6"/>
        <v>Trads450</v>
      </c>
    </row>
    <row r="451" spans="1:3">
      <c r="A451" s="425">
        <v>0</v>
      </c>
      <c r="B451" s="12">
        <v>451</v>
      </c>
      <c r="C451" s="12" t="str">
        <f t="shared" ref="C451:C514" si="7">+_xlfn.CONCAT("Trads",B451)</f>
        <v>Trads451</v>
      </c>
    </row>
    <row r="452" spans="1:3">
      <c r="A452" s="425">
        <v>0</v>
      </c>
      <c r="B452" s="12">
        <v>452</v>
      </c>
      <c r="C452" s="12" t="str">
        <f t="shared" si="7"/>
        <v>Trads452</v>
      </c>
    </row>
    <row r="453" spans="1:3">
      <c r="A453" s="425">
        <v>0</v>
      </c>
      <c r="B453" s="12">
        <v>453</v>
      </c>
      <c r="C453" s="12" t="str">
        <f t="shared" si="7"/>
        <v>Trads453</v>
      </c>
    </row>
    <row r="454" spans="1:3">
      <c r="A454" s="425">
        <v>0</v>
      </c>
      <c r="B454" s="12">
        <v>454</v>
      </c>
      <c r="C454" s="12" t="str">
        <f t="shared" si="7"/>
        <v>Trads454</v>
      </c>
    </row>
    <row r="455" spans="1:3">
      <c r="A455" s="425">
        <v>0</v>
      </c>
      <c r="B455" s="12">
        <v>455</v>
      </c>
      <c r="C455" s="12" t="str">
        <f t="shared" si="7"/>
        <v>Trads455</v>
      </c>
    </row>
    <row r="456" spans="1:3">
      <c r="A456" s="425">
        <v>0</v>
      </c>
      <c r="B456" s="12">
        <v>456</v>
      </c>
      <c r="C456" s="12" t="str">
        <f t="shared" si="7"/>
        <v>Trads456</v>
      </c>
    </row>
    <row r="457" spans="1:3">
      <c r="A457" s="425">
        <v>0</v>
      </c>
      <c r="B457" s="12">
        <v>457</v>
      </c>
      <c r="C457" s="12" t="str">
        <f t="shared" si="7"/>
        <v>Trads457</v>
      </c>
    </row>
    <row r="458" spans="1:3">
      <c r="A458" s="425">
        <v>0</v>
      </c>
      <c r="B458" s="12">
        <v>458</v>
      </c>
      <c r="C458" s="12" t="str">
        <f t="shared" si="7"/>
        <v>Trads458</v>
      </c>
    </row>
    <row r="459" spans="1:3">
      <c r="A459" s="425">
        <v>0</v>
      </c>
      <c r="B459" s="12">
        <v>459</v>
      </c>
      <c r="C459" s="12" t="str">
        <f t="shared" si="7"/>
        <v>Trads459</v>
      </c>
    </row>
    <row r="460" spans="1:3">
      <c r="A460" s="425">
        <v>0</v>
      </c>
      <c r="B460" s="12">
        <v>460</v>
      </c>
      <c r="C460" s="12" t="str">
        <f t="shared" si="7"/>
        <v>Trads460</v>
      </c>
    </row>
    <row r="461" spans="1:3">
      <c r="A461" s="425">
        <v>0</v>
      </c>
      <c r="B461" s="12">
        <v>461</v>
      </c>
      <c r="C461" s="12" t="str">
        <f t="shared" si="7"/>
        <v>Trads461</v>
      </c>
    </row>
    <row r="462" spans="1:3">
      <c r="A462" s="425">
        <v>0</v>
      </c>
      <c r="B462" s="12">
        <v>462</v>
      </c>
      <c r="C462" s="12" t="str">
        <f t="shared" si="7"/>
        <v>Trads462</v>
      </c>
    </row>
    <row r="463" spans="1:3">
      <c r="A463" s="425">
        <v>0</v>
      </c>
      <c r="B463" s="12">
        <v>463</v>
      </c>
      <c r="C463" s="12" t="str">
        <f t="shared" si="7"/>
        <v>Trads463</v>
      </c>
    </row>
    <row r="464" spans="1:3">
      <c r="A464" s="425">
        <v>0</v>
      </c>
      <c r="B464" s="12">
        <v>464</v>
      </c>
      <c r="C464" s="12" t="str">
        <f t="shared" si="7"/>
        <v>Trads464</v>
      </c>
    </row>
    <row r="465" spans="1:3">
      <c r="A465" s="425">
        <v>0</v>
      </c>
      <c r="B465" s="12">
        <v>465</v>
      </c>
      <c r="C465" s="12" t="str">
        <f t="shared" si="7"/>
        <v>Trads465</v>
      </c>
    </row>
    <row r="466" spans="1:3">
      <c r="A466" s="425">
        <v>0</v>
      </c>
      <c r="B466" s="12">
        <v>466</v>
      </c>
      <c r="C466" s="12" t="str">
        <f t="shared" si="7"/>
        <v>Trads466</v>
      </c>
    </row>
    <row r="467" spans="1:3">
      <c r="A467" s="425">
        <v>0</v>
      </c>
      <c r="B467" s="12">
        <v>467</v>
      </c>
      <c r="C467" s="12" t="str">
        <f t="shared" si="7"/>
        <v>Trads467</v>
      </c>
    </row>
    <row r="468" spans="1:3">
      <c r="A468" s="425">
        <v>0</v>
      </c>
      <c r="B468" s="12">
        <v>468</v>
      </c>
      <c r="C468" s="12" t="str">
        <f t="shared" si="7"/>
        <v>Trads468</v>
      </c>
    </row>
    <row r="469" spans="1:3">
      <c r="A469" s="425">
        <v>0</v>
      </c>
      <c r="B469" s="12">
        <v>469</v>
      </c>
      <c r="C469" s="12" t="str">
        <f t="shared" si="7"/>
        <v>Trads469</v>
      </c>
    </row>
    <row r="470" spans="1:3">
      <c r="A470" s="425">
        <v>0</v>
      </c>
      <c r="B470" s="12">
        <v>470</v>
      </c>
      <c r="C470" s="12" t="str">
        <f t="shared" si="7"/>
        <v>Trads470</v>
      </c>
    </row>
    <row r="471" spans="1:3">
      <c r="A471" s="425">
        <v>0</v>
      </c>
      <c r="B471" s="12">
        <v>471</v>
      </c>
      <c r="C471" s="12" t="str">
        <f t="shared" si="7"/>
        <v>Trads471</v>
      </c>
    </row>
    <row r="472" spans="1:3">
      <c r="A472" s="425">
        <v>0</v>
      </c>
      <c r="B472" s="12">
        <v>472</v>
      </c>
      <c r="C472" s="12" t="str">
        <f t="shared" si="7"/>
        <v>Trads472</v>
      </c>
    </row>
    <row r="473" spans="1:3">
      <c r="A473" s="425">
        <v>0</v>
      </c>
      <c r="B473" s="12">
        <v>473</v>
      </c>
      <c r="C473" s="12" t="str">
        <f t="shared" si="7"/>
        <v>Trads473</v>
      </c>
    </row>
    <row r="474" spans="1:3">
      <c r="A474" s="425">
        <v>0</v>
      </c>
      <c r="B474" s="12">
        <v>474</v>
      </c>
      <c r="C474" s="12" t="str">
        <f t="shared" si="7"/>
        <v>Trads474</v>
      </c>
    </row>
    <row r="475" spans="1:3">
      <c r="A475" s="425">
        <v>0</v>
      </c>
      <c r="B475" s="12">
        <v>475</v>
      </c>
      <c r="C475" s="12" t="str">
        <f t="shared" si="7"/>
        <v>Trads475</v>
      </c>
    </row>
    <row r="476" spans="1:3">
      <c r="A476" s="425">
        <v>0</v>
      </c>
      <c r="B476" s="12">
        <v>476</v>
      </c>
      <c r="C476" s="12" t="str">
        <f t="shared" si="7"/>
        <v>Trads476</v>
      </c>
    </row>
    <row r="477" spans="1:3">
      <c r="A477" s="425">
        <v>0</v>
      </c>
      <c r="B477" s="12">
        <v>477</v>
      </c>
      <c r="C477" s="12" t="str">
        <f t="shared" si="7"/>
        <v>Trads477</v>
      </c>
    </row>
    <row r="478" spans="1:3">
      <c r="A478" s="425">
        <v>0</v>
      </c>
      <c r="B478" s="12">
        <v>478</v>
      </c>
      <c r="C478" s="12" t="str">
        <f t="shared" si="7"/>
        <v>Trads478</v>
      </c>
    </row>
    <row r="479" spans="1:3">
      <c r="A479" s="425">
        <v>0</v>
      </c>
      <c r="B479" s="12">
        <v>479</v>
      </c>
      <c r="C479" s="12" t="str">
        <f t="shared" si="7"/>
        <v>Trads479</v>
      </c>
    </row>
    <row r="480" spans="1:3">
      <c r="A480" s="425">
        <v>0</v>
      </c>
      <c r="B480" s="12">
        <v>480</v>
      </c>
      <c r="C480" s="12" t="str">
        <f t="shared" si="7"/>
        <v>Trads480</v>
      </c>
    </row>
    <row r="481" spans="1:3">
      <c r="A481" s="425">
        <v>0</v>
      </c>
      <c r="B481" s="12">
        <v>481</v>
      </c>
      <c r="C481" s="12" t="str">
        <f t="shared" si="7"/>
        <v>Trads481</v>
      </c>
    </row>
    <row r="482" spans="1:3">
      <c r="A482" s="425">
        <v>0</v>
      </c>
      <c r="B482" s="12">
        <v>482</v>
      </c>
      <c r="C482" s="12" t="str">
        <f t="shared" si="7"/>
        <v>Trads482</v>
      </c>
    </row>
    <row r="483" spans="1:3">
      <c r="A483" s="425">
        <v>0</v>
      </c>
      <c r="B483" s="12">
        <v>483</v>
      </c>
      <c r="C483" s="12" t="str">
        <f t="shared" si="7"/>
        <v>Trads483</v>
      </c>
    </row>
    <row r="484" spans="1:3">
      <c r="A484" s="425">
        <v>0</v>
      </c>
      <c r="B484" s="12">
        <v>484</v>
      </c>
      <c r="C484" s="12" t="str">
        <f t="shared" si="7"/>
        <v>Trads484</v>
      </c>
    </row>
    <row r="485" spans="1:3">
      <c r="A485" s="425">
        <v>0</v>
      </c>
      <c r="B485" s="12">
        <v>485</v>
      </c>
      <c r="C485" s="12" t="str">
        <f t="shared" si="7"/>
        <v>Trads485</v>
      </c>
    </row>
    <row r="486" spans="1:3">
      <c r="A486" s="425">
        <v>0</v>
      </c>
      <c r="B486" s="12">
        <v>486</v>
      </c>
      <c r="C486" s="12" t="str">
        <f t="shared" si="7"/>
        <v>Trads486</v>
      </c>
    </row>
    <row r="487" spans="1:3">
      <c r="A487" s="425">
        <v>0</v>
      </c>
      <c r="B487" s="12">
        <v>487</v>
      </c>
      <c r="C487" s="12" t="str">
        <f t="shared" si="7"/>
        <v>Trads487</v>
      </c>
    </row>
    <row r="488" spans="1:3">
      <c r="A488" s="425">
        <v>0</v>
      </c>
      <c r="B488" s="12">
        <v>488</v>
      </c>
      <c r="C488" s="12" t="str">
        <f t="shared" si="7"/>
        <v>Trads488</v>
      </c>
    </row>
    <row r="489" spans="1:3">
      <c r="A489" s="425">
        <v>0</v>
      </c>
      <c r="B489" s="12">
        <v>489</v>
      </c>
      <c r="C489" s="12" t="str">
        <f t="shared" si="7"/>
        <v>Trads489</v>
      </c>
    </row>
    <row r="490" spans="1:3">
      <c r="A490" s="425">
        <v>0</v>
      </c>
      <c r="B490" s="12">
        <v>490</v>
      </c>
      <c r="C490" s="12" t="str">
        <f t="shared" si="7"/>
        <v>Trads490</v>
      </c>
    </row>
    <row r="491" spans="1:3">
      <c r="A491" s="425">
        <v>0</v>
      </c>
      <c r="B491" s="12">
        <v>491</v>
      </c>
      <c r="C491" s="12" t="str">
        <f t="shared" si="7"/>
        <v>Trads491</v>
      </c>
    </row>
    <row r="492" spans="1:3">
      <c r="A492" s="425">
        <v>0</v>
      </c>
      <c r="B492" s="12">
        <v>492</v>
      </c>
      <c r="C492" s="12" t="str">
        <f t="shared" si="7"/>
        <v>Trads492</v>
      </c>
    </row>
    <row r="493" spans="1:3">
      <c r="A493" s="425">
        <v>0</v>
      </c>
      <c r="B493" s="12">
        <v>493</v>
      </c>
      <c r="C493" s="12" t="str">
        <f t="shared" si="7"/>
        <v>Trads493</v>
      </c>
    </row>
    <row r="494" spans="1:3">
      <c r="A494" s="425">
        <v>0</v>
      </c>
      <c r="B494" s="12">
        <v>494</v>
      </c>
      <c r="C494" s="12" t="str">
        <f t="shared" si="7"/>
        <v>Trads494</v>
      </c>
    </row>
    <row r="495" spans="1:3">
      <c r="A495" s="425">
        <v>0</v>
      </c>
      <c r="B495" s="12">
        <v>495</v>
      </c>
      <c r="C495" s="12" t="str">
        <f t="shared" si="7"/>
        <v>Trads495</v>
      </c>
    </row>
    <row r="496" spans="1:3">
      <c r="A496" s="425">
        <v>0</v>
      </c>
      <c r="B496" s="12">
        <v>496</v>
      </c>
      <c r="C496" s="12" t="str">
        <f t="shared" si="7"/>
        <v>Trads496</v>
      </c>
    </row>
    <row r="497" spans="1:3">
      <c r="A497" s="425">
        <v>0</v>
      </c>
      <c r="B497" s="12">
        <v>497</v>
      </c>
      <c r="C497" s="12" t="str">
        <f t="shared" si="7"/>
        <v>Trads497</v>
      </c>
    </row>
    <row r="498" spans="1:3">
      <c r="A498" s="425">
        <v>0</v>
      </c>
      <c r="B498" s="12">
        <v>498</v>
      </c>
      <c r="C498" s="12" t="str">
        <f t="shared" si="7"/>
        <v>Trads498</v>
      </c>
    </row>
    <row r="499" spans="1:3">
      <c r="A499" s="425">
        <v>0</v>
      </c>
      <c r="B499" s="12">
        <v>499</v>
      </c>
      <c r="C499" s="12" t="str">
        <f t="shared" si="7"/>
        <v>Trads499</v>
      </c>
    </row>
    <row r="500" spans="1:3">
      <c r="A500" s="425">
        <v>0</v>
      </c>
      <c r="B500" s="12">
        <v>500</v>
      </c>
      <c r="C500" s="12" t="str">
        <f t="shared" si="7"/>
        <v>Trads500</v>
      </c>
    </row>
    <row r="501" spans="1:3">
      <c r="A501" s="425">
        <v>0</v>
      </c>
      <c r="B501" s="12">
        <v>501</v>
      </c>
      <c r="C501" s="12" t="str">
        <f t="shared" si="7"/>
        <v>Trads501</v>
      </c>
    </row>
    <row r="502" spans="1:3">
      <c r="A502" s="425">
        <v>0</v>
      </c>
      <c r="B502" s="12">
        <v>502</v>
      </c>
      <c r="C502" s="12" t="str">
        <f t="shared" si="7"/>
        <v>Trads502</v>
      </c>
    </row>
    <row r="503" spans="1:3">
      <c r="A503" s="425">
        <v>0</v>
      </c>
      <c r="B503" s="12">
        <v>503</v>
      </c>
      <c r="C503" s="12" t="str">
        <f t="shared" si="7"/>
        <v>Trads503</v>
      </c>
    </row>
    <row r="504" spans="1:3">
      <c r="A504" s="425">
        <v>0</v>
      </c>
      <c r="B504" s="12">
        <v>504</v>
      </c>
      <c r="C504" s="12" t="str">
        <f t="shared" si="7"/>
        <v>Trads504</v>
      </c>
    </row>
    <row r="505" spans="1:3">
      <c r="A505" s="425">
        <v>0</v>
      </c>
      <c r="B505" s="12">
        <v>505</v>
      </c>
      <c r="C505" s="12" t="str">
        <f t="shared" si="7"/>
        <v>Trads505</v>
      </c>
    </row>
    <row r="506" spans="1:3">
      <c r="A506" s="425">
        <v>0</v>
      </c>
      <c r="B506" s="12">
        <v>506</v>
      </c>
      <c r="C506" s="12" t="str">
        <f t="shared" si="7"/>
        <v>Trads506</v>
      </c>
    </row>
    <row r="507" spans="1:3">
      <c r="A507" s="425">
        <v>0</v>
      </c>
      <c r="B507" s="12">
        <v>507</v>
      </c>
      <c r="C507" s="12" t="str">
        <f t="shared" si="7"/>
        <v>Trads507</v>
      </c>
    </row>
    <row r="508" spans="1:3">
      <c r="A508" s="425">
        <v>0</v>
      </c>
      <c r="B508" s="12">
        <v>508</v>
      </c>
      <c r="C508" s="12" t="str">
        <f t="shared" si="7"/>
        <v>Trads508</v>
      </c>
    </row>
    <row r="509" spans="1:3">
      <c r="A509" s="425">
        <v>0</v>
      </c>
      <c r="B509" s="12">
        <v>509</v>
      </c>
      <c r="C509" s="12" t="str">
        <f t="shared" si="7"/>
        <v>Trads509</v>
      </c>
    </row>
    <row r="510" spans="1:3">
      <c r="A510" s="425">
        <v>0</v>
      </c>
      <c r="B510" s="12">
        <v>510</v>
      </c>
      <c r="C510" s="12" t="str">
        <f t="shared" si="7"/>
        <v>Trads510</v>
      </c>
    </row>
    <row r="511" spans="1:3">
      <c r="A511" s="425">
        <v>0</v>
      </c>
      <c r="B511" s="12">
        <v>511</v>
      </c>
      <c r="C511" s="12" t="str">
        <f t="shared" si="7"/>
        <v>Trads511</v>
      </c>
    </row>
    <row r="512" spans="1:3">
      <c r="A512" s="425">
        <v>0</v>
      </c>
      <c r="B512" s="12">
        <v>512</v>
      </c>
      <c r="C512" s="12" t="str">
        <f t="shared" si="7"/>
        <v>Trads512</v>
      </c>
    </row>
    <row r="513" spans="1:3">
      <c r="A513" s="425">
        <v>0</v>
      </c>
      <c r="B513" s="12">
        <v>513</v>
      </c>
      <c r="C513" s="12" t="str">
        <f t="shared" si="7"/>
        <v>Trads513</v>
      </c>
    </row>
    <row r="514" spans="1:3">
      <c r="A514" s="425">
        <v>0</v>
      </c>
      <c r="B514" s="12">
        <v>514</v>
      </c>
      <c r="C514" s="12" t="str">
        <f t="shared" si="7"/>
        <v>Trads514</v>
      </c>
    </row>
    <row r="515" spans="1:3">
      <c r="A515" s="425">
        <v>0</v>
      </c>
      <c r="B515" s="12">
        <v>515</v>
      </c>
      <c r="C515" s="12" t="str">
        <f t="shared" ref="C515:C578" si="8">+_xlfn.CONCAT("Trads",B515)</f>
        <v>Trads515</v>
      </c>
    </row>
    <row r="516" spans="1:3">
      <c r="A516" s="425">
        <v>0</v>
      </c>
      <c r="B516" s="12">
        <v>516</v>
      </c>
      <c r="C516" s="12" t="str">
        <f t="shared" si="8"/>
        <v>Trads516</v>
      </c>
    </row>
    <row r="517" spans="1:3">
      <c r="A517" s="425">
        <v>0</v>
      </c>
      <c r="B517" s="12">
        <v>517</v>
      </c>
      <c r="C517" s="12" t="str">
        <f t="shared" si="8"/>
        <v>Trads517</v>
      </c>
    </row>
    <row r="518" spans="1:3">
      <c r="A518" s="425">
        <v>0</v>
      </c>
      <c r="B518" s="12">
        <v>518</v>
      </c>
      <c r="C518" s="12" t="str">
        <f t="shared" si="8"/>
        <v>Trads518</v>
      </c>
    </row>
    <row r="519" spans="1:3">
      <c r="A519" s="425">
        <v>0</v>
      </c>
      <c r="B519" s="12">
        <v>519</v>
      </c>
      <c r="C519" s="12" t="str">
        <f t="shared" si="8"/>
        <v>Trads519</v>
      </c>
    </row>
    <row r="520" spans="1:3">
      <c r="A520" s="425">
        <v>0</v>
      </c>
      <c r="B520" s="12">
        <v>520</v>
      </c>
      <c r="C520" s="12" t="str">
        <f t="shared" si="8"/>
        <v>Trads520</v>
      </c>
    </row>
    <row r="521" spans="1:3">
      <c r="A521" s="425">
        <v>0</v>
      </c>
      <c r="B521" s="12">
        <v>521</v>
      </c>
      <c r="C521" s="12" t="str">
        <f t="shared" si="8"/>
        <v>Trads521</v>
      </c>
    </row>
    <row r="522" spans="1:3">
      <c r="A522" s="425">
        <v>0</v>
      </c>
      <c r="B522" s="12">
        <v>522</v>
      </c>
      <c r="C522" s="12" t="str">
        <f t="shared" si="8"/>
        <v>Trads522</v>
      </c>
    </row>
    <row r="523" spans="1:3">
      <c r="A523" s="425">
        <v>0</v>
      </c>
      <c r="B523" s="12">
        <v>523</v>
      </c>
      <c r="C523" s="12" t="str">
        <f t="shared" si="8"/>
        <v>Trads523</v>
      </c>
    </row>
    <row r="524" spans="1:3">
      <c r="A524" s="425">
        <v>0</v>
      </c>
      <c r="B524" s="12">
        <v>524</v>
      </c>
      <c r="C524" s="12" t="str">
        <f t="shared" si="8"/>
        <v>Trads524</v>
      </c>
    </row>
    <row r="525" spans="1:3">
      <c r="A525" s="425">
        <v>0</v>
      </c>
      <c r="B525" s="12">
        <v>525</v>
      </c>
      <c r="C525" s="12" t="str">
        <f t="shared" si="8"/>
        <v>Trads525</v>
      </c>
    </row>
    <row r="526" spans="1:3">
      <c r="A526" s="425">
        <v>0</v>
      </c>
      <c r="B526" s="12">
        <v>526</v>
      </c>
      <c r="C526" s="12" t="str">
        <f t="shared" si="8"/>
        <v>Trads526</v>
      </c>
    </row>
    <row r="527" spans="1:3">
      <c r="A527" s="425">
        <v>0</v>
      </c>
      <c r="B527" s="12">
        <v>527</v>
      </c>
      <c r="C527" s="12" t="str">
        <f t="shared" si="8"/>
        <v>Trads527</v>
      </c>
    </row>
    <row r="528" spans="1:3">
      <c r="A528" s="425">
        <v>0</v>
      </c>
      <c r="B528" s="12">
        <v>528</v>
      </c>
      <c r="C528" s="12" t="str">
        <f t="shared" si="8"/>
        <v>Trads528</v>
      </c>
    </row>
    <row r="529" spans="1:3">
      <c r="A529" s="425">
        <v>0</v>
      </c>
      <c r="B529" s="12">
        <v>529</v>
      </c>
      <c r="C529" s="12" t="str">
        <f t="shared" si="8"/>
        <v>Trads529</v>
      </c>
    </row>
    <row r="530" spans="1:3">
      <c r="A530" s="425">
        <v>0</v>
      </c>
      <c r="B530" s="12">
        <v>530</v>
      </c>
      <c r="C530" s="12" t="str">
        <f t="shared" si="8"/>
        <v>Trads530</v>
      </c>
    </row>
    <row r="531" spans="1:3">
      <c r="A531" s="425">
        <v>0</v>
      </c>
      <c r="B531" s="12">
        <v>531</v>
      </c>
      <c r="C531" s="12" t="str">
        <f t="shared" si="8"/>
        <v>Trads531</v>
      </c>
    </row>
    <row r="532" spans="1:3">
      <c r="A532" s="425">
        <v>0</v>
      </c>
      <c r="B532" s="12">
        <v>532</v>
      </c>
      <c r="C532" s="12" t="str">
        <f t="shared" si="8"/>
        <v>Trads532</v>
      </c>
    </row>
    <row r="533" spans="1:3">
      <c r="A533" s="425">
        <v>0</v>
      </c>
      <c r="B533" s="12">
        <v>533</v>
      </c>
      <c r="C533" s="12" t="str">
        <f t="shared" si="8"/>
        <v>Trads533</v>
      </c>
    </row>
    <row r="534" spans="1:3">
      <c r="A534" s="425">
        <v>0</v>
      </c>
      <c r="B534" s="12">
        <v>534</v>
      </c>
      <c r="C534" s="12" t="str">
        <f t="shared" si="8"/>
        <v>Trads534</v>
      </c>
    </row>
    <row r="535" spans="1:3">
      <c r="A535" s="425">
        <v>0</v>
      </c>
      <c r="B535" s="12">
        <v>535</v>
      </c>
      <c r="C535" s="12" t="str">
        <f t="shared" si="8"/>
        <v>Trads535</v>
      </c>
    </row>
    <row r="536" spans="1:3">
      <c r="A536" s="425">
        <v>0</v>
      </c>
      <c r="B536" s="12">
        <v>536</v>
      </c>
      <c r="C536" s="12" t="str">
        <f t="shared" si="8"/>
        <v>Trads536</v>
      </c>
    </row>
    <row r="537" spans="1:3">
      <c r="A537" s="425">
        <v>0</v>
      </c>
      <c r="B537" s="12">
        <v>537</v>
      </c>
      <c r="C537" s="12" t="str">
        <f t="shared" si="8"/>
        <v>Trads537</v>
      </c>
    </row>
    <row r="538" spans="1:3">
      <c r="A538" s="425">
        <v>0</v>
      </c>
      <c r="B538" s="12">
        <v>538</v>
      </c>
      <c r="C538" s="12" t="str">
        <f t="shared" si="8"/>
        <v>Trads538</v>
      </c>
    </row>
    <row r="539" spans="1:3">
      <c r="A539" s="425">
        <v>0</v>
      </c>
      <c r="B539" s="12">
        <v>539</v>
      </c>
      <c r="C539" s="12" t="str">
        <f t="shared" si="8"/>
        <v>Trads539</v>
      </c>
    </row>
    <row r="540" spans="1:3">
      <c r="A540" s="425">
        <v>0</v>
      </c>
      <c r="B540" s="12">
        <v>540</v>
      </c>
      <c r="C540" s="12" t="str">
        <f t="shared" si="8"/>
        <v>Trads540</v>
      </c>
    </row>
    <row r="541" spans="1:3">
      <c r="A541" s="425">
        <v>0</v>
      </c>
      <c r="B541" s="12">
        <v>541</v>
      </c>
      <c r="C541" s="12" t="str">
        <f t="shared" si="8"/>
        <v>Trads541</v>
      </c>
    </row>
    <row r="542" spans="1:3">
      <c r="A542" s="425">
        <v>0</v>
      </c>
      <c r="B542" s="12">
        <v>542</v>
      </c>
      <c r="C542" s="12" t="str">
        <f t="shared" si="8"/>
        <v>Trads542</v>
      </c>
    </row>
    <row r="543" spans="1:3">
      <c r="A543" s="425">
        <v>0</v>
      </c>
      <c r="B543" s="12">
        <v>543</v>
      </c>
      <c r="C543" s="12" t="str">
        <f t="shared" si="8"/>
        <v>Trads543</v>
      </c>
    </row>
    <row r="544" spans="1:3">
      <c r="A544" s="425">
        <v>0</v>
      </c>
      <c r="B544" s="12">
        <v>544</v>
      </c>
      <c r="C544" s="12" t="str">
        <f t="shared" si="8"/>
        <v>Trads544</v>
      </c>
    </row>
    <row r="545" spans="1:3">
      <c r="A545" s="425">
        <v>0</v>
      </c>
      <c r="B545" s="12">
        <v>545</v>
      </c>
      <c r="C545" s="12" t="str">
        <f t="shared" si="8"/>
        <v>Trads545</v>
      </c>
    </row>
    <row r="546" spans="1:3">
      <c r="A546" s="425">
        <v>0</v>
      </c>
      <c r="B546" s="12">
        <v>546</v>
      </c>
      <c r="C546" s="12" t="str">
        <f t="shared" si="8"/>
        <v>Trads546</v>
      </c>
    </row>
    <row r="547" spans="1:3">
      <c r="A547" s="425">
        <v>0</v>
      </c>
      <c r="B547" s="12">
        <v>547</v>
      </c>
      <c r="C547" s="12" t="str">
        <f t="shared" si="8"/>
        <v>Trads547</v>
      </c>
    </row>
    <row r="548" spans="1:3">
      <c r="A548" s="425">
        <v>0</v>
      </c>
      <c r="B548" s="12">
        <v>548</v>
      </c>
      <c r="C548" s="12" t="str">
        <f t="shared" si="8"/>
        <v>Trads548</v>
      </c>
    </row>
    <row r="549" spans="1:3">
      <c r="A549" s="425">
        <v>0</v>
      </c>
      <c r="B549" s="12">
        <v>549</v>
      </c>
      <c r="C549" s="12" t="str">
        <f t="shared" si="8"/>
        <v>Trads549</v>
      </c>
    </row>
    <row r="550" spans="1:3">
      <c r="A550" s="425">
        <v>0</v>
      </c>
      <c r="B550" s="12">
        <v>550</v>
      </c>
      <c r="C550" s="12" t="str">
        <f t="shared" si="8"/>
        <v>Trads550</v>
      </c>
    </row>
    <row r="551" spans="1:3">
      <c r="A551" s="425">
        <v>0</v>
      </c>
      <c r="B551" s="12">
        <v>551</v>
      </c>
      <c r="C551" s="12" t="str">
        <f t="shared" si="8"/>
        <v>Trads551</v>
      </c>
    </row>
    <row r="552" spans="1:3">
      <c r="A552" s="425">
        <v>0</v>
      </c>
      <c r="B552" s="12">
        <v>552</v>
      </c>
      <c r="C552" s="12" t="str">
        <f t="shared" si="8"/>
        <v>Trads552</v>
      </c>
    </row>
    <row r="553" spans="1:3">
      <c r="A553" s="425">
        <v>0</v>
      </c>
      <c r="B553" s="12">
        <v>553</v>
      </c>
      <c r="C553" s="12" t="str">
        <f t="shared" si="8"/>
        <v>Trads553</v>
      </c>
    </row>
    <row r="554" spans="1:3">
      <c r="A554" s="425">
        <v>0</v>
      </c>
      <c r="B554" s="12">
        <v>554</v>
      </c>
      <c r="C554" s="12" t="str">
        <f t="shared" si="8"/>
        <v>Trads554</v>
      </c>
    </row>
    <row r="555" spans="1:3">
      <c r="A555" s="425">
        <v>0</v>
      </c>
      <c r="B555" s="12">
        <v>555</v>
      </c>
      <c r="C555" s="12" t="str">
        <f t="shared" si="8"/>
        <v>Trads555</v>
      </c>
    </row>
    <row r="556" spans="1:3">
      <c r="A556" s="425">
        <v>0</v>
      </c>
      <c r="B556" s="12">
        <v>556</v>
      </c>
      <c r="C556" s="12" t="str">
        <f t="shared" si="8"/>
        <v>Trads556</v>
      </c>
    </row>
    <row r="557" spans="1:3">
      <c r="A557" s="425">
        <v>0</v>
      </c>
      <c r="B557" s="12">
        <v>557</v>
      </c>
      <c r="C557" s="12" t="str">
        <f t="shared" si="8"/>
        <v>Trads557</v>
      </c>
    </row>
    <row r="558" spans="1:3">
      <c r="A558" s="425">
        <v>0</v>
      </c>
      <c r="B558" s="12">
        <v>558</v>
      </c>
      <c r="C558" s="12" t="str">
        <f t="shared" si="8"/>
        <v>Trads558</v>
      </c>
    </row>
    <row r="559" spans="1:3">
      <c r="A559" s="425">
        <v>0</v>
      </c>
      <c r="B559" s="12">
        <v>559</v>
      </c>
      <c r="C559" s="12" t="str">
        <f t="shared" si="8"/>
        <v>Trads559</v>
      </c>
    </row>
    <row r="560" spans="1:3">
      <c r="A560" s="425">
        <v>0</v>
      </c>
      <c r="B560" s="12">
        <v>560</v>
      </c>
      <c r="C560" s="12" t="str">
        <f t="shared" si="8"/>
        <v>Trads560</v>
      </c>
    </row>
    <row r="561" spans="1:3">
      <c r="A561" s="425">
        <v>0</v>
      </c>
      <c r="B561" s="12">
        <v>561</v>
      </c>
      <c r="C561" s="12" t="str">
        <f t="shared" si="8"/>
        <v>Trads561</v>
      </c>
    </row>
    <row r="562" spans="1:3">
      <c r="A562" s="425">
        <v>0</v>
      </c>
      <c r="B562" s="12">
        <v>562</v>
      </c>
      <c r="C562" s="12" t="str">
        <f t="shared" si="8"/>
        <v>Trads562</v>
      </c>
    </row>
    <row r="563" spans="1:3">
      <c r="A563" s="425">
        <v>0</v>
      </c>
      <c r="B563" s="12">
        <v>563</v>
      </c>
      <c r="C563" s="12" t="str">
        <f t="shared" si="8"/>
        <v>Trads563</v>
      </c>
    </row>
    <row r="564" spans="1:3">
      <c r="A564" s="425">
        <v>0</v>
      </c>
      <c r="B564" s="12">
        <v>564</v>
      </c>
      <c r="C564" s="12" t="str">
        <f t="shared" si="8"/>
        <v>Trads564</v>
      </c>
    </row>
    <row r="565" spans="1:3">
      <c r="A565" s="425">
        <v>0</v>
      </c>
      <c r="B565" s="12">
        <v>565</v>
      </c>
      <c r="C565" s="12" t="str">
        <f t="shared" si="8"/>
        <v>Trads565</v>
      </c>
    </row>
    <row r="566" spans="1:3">
      <c r="A566" s="425">
        <v>0</v>
      </c>
      <c r="B566" s="12">
        <v>566</v>
      </c>
      <c r="C566" s="12" t="str">
        <f t="shared" si="8"/>
        <v>Trads566</v>
      </c>
    </row>
    <row r="567" spans="1:3">
      <c r="A567" s="425">
        <v>0</v>
      </c>
      <c r="B567" s="12">
        <v>567</v>
      </c>
      <c r="C567" s="12" t="str">
        <f t="shared" si="8"/>
        <v>Trads567</v>
      </c>
    </row>
    <row r="568" spans="1:3">
      <c r="A568" s="425">
        <v>0</v>
      </c>
      <c r="B568" s="12">
        <v>568</v>
      </c>
      <c r="C568" s="12" t="str">
        <f t="shared" si="8"/>
        <v>Trads568</v>
      </c>
    </row>
    <row r="569" spans="1:3">
      <c r="A569" s="425">
        <v>0</v>
      </c>
      <c r="B569" s="12">
        <v>569</v>
      </c>
      <c r="C569" s="12" t="str">
        <f t="shared" si="8"/>
        <v>Trads569</v>
      </c>
    </row>
    <row r="570" spans="1:3">
      <c r="A570" s="425">
        <v>0</v>
      </c>
      <c r="B570" s="12">
        <v>570</v>
      </c>
      <c r="C570" s="12" t="str">
        <f t="shared" si="8"/>
        <v>Trads570</v>
      </c>
    </row>
    <row r="571" spans="1:3">
      <c r="A571" s="425">
        <v>0</v>
      </c>
      <c r="B571" s="12">
        <v>571</v>
      </c>
      <c r="C571" s="12" t="str">
        <f t="shared" si="8"/>
        <v>Trads571</v>
      </c>
    </row>
    <row r="572" spans="1:3">
      <c r="A572" s="425">
        <v>0</v>
      </c>
      <c r="B572" s="12">
        <v>572</v>
      </c>
      <c r="C572" s="12" t="str">
        <f t="shared" si="8"/>
        <v>Trads572</v>
      </c>
    </row>
    <row r="573" spans="1:3">
      <c r="A573" s="425">
        <v>0</v>
      </c>
      <c r="B573" s="12">
        <v>573</v>
      </c>
      <c r="C573" s="12" t="str">
        <f t="shared" si="8"/>
        <v>Trads573</v>
      </c>
    </row>
    <row r="574" spans="1:3">
      <c r="A574" s="425">
        <v>0</v>
      </c>
      <c r="B574" s="12">
        <v>574</v>
      </c>
      <c r="C574" s="12" t="str">
        <f t="shared" si="8"/>
        <v>Trads574</v>
      </c>
    </row>
    <row r="575" spans="1:3">
      <c r="A575" s="425">
        <v>0</v>
      </c>
      <c r="B575" s="12">
        <v>575</v>
      </c>
      <c r="C575" s="12" t="str">
        <f t="shared" si="8"/>
        <v>Trads575</v>
      </c>
    </row>
    <row r="576" spans="1:3">
      <c r="A576" s="425">
        <v>0</v>
      </c>
      <c r="B576" s="12">
        <v>576</v>
      </c>
      <c r="C576" s="12" t="str">
        <f t="shared" si="8"/>
        <v>Trads576</v>
      </c>
    </row>
    <row r="577" spans="1:3">
      <c r="A577" s="425">
        <v>0</v>
      </c>
      <c r="B577" s="12">
        <v>577</v>
      </c>
      <c r="C577" s="12" t="str">
        <f t="shared" si="8"/>
        <v>Trads577</v>
      </c>
    </row>
    <row r="578" spans="1:3">
      <c r="A578" s="425">
        <v>0</v>
      </c>
      <c r="B578" s="12">
        <v>578</v>
      </c>
      <c r="C578" s="12" t="str">
        <f t="shared" si="8"/>
        <v>Trads578</v>
      </c>
    </row>
    <row r="579" spans="1:3">
      <c r="A579" s="425">
        <v>0</v>
      </c>
      <c r="B579" s="12">
        <v>579</v>
      </c>
      <c r="C579" s="12" t="str">
        <f t="shared" ref="C579:C642" si="9">+_xlfn.CONCAT("Trads",B579)</f>
        <v>Trads579</v>
      </c>
    </row>
    <row r="580" spans="1:3">
      <c r="A580" s="425">
        <v>0</v>
      </c>
      <c r="B580" s="12">
        <v>580</v>
      </c>
      <c r="C580" s="12" t="str">
        <f t="shared" si="9"/>
        <v>Trads580</v>
      </c>
    </row>
    <row r="581" spans="1:3">
      <c r="A581" s="425">
        <v>0</v>
      </c>
      <c r="B581" s="12">
        <v>581</v>
      </c>
      <c r="C581" s="12" t="str">
        <f t="shared" si="9"/>
        <v>Trads581</v>
      </c>
    </row>
    <row r="582" spans="1:3">
      <c r="A582" s="425">
        <v>0</v>
      </c>
      <c r="B582" s="12">
        <v>582</v>
      </c>
      <c r="C582" s="12" t="str">
        <f t="shared" si="9"/>
        <v>Trads582</v>
      </c>
    </row>
    <row r="583" spans="1:3">
      <c r="A583" s="425">
        <v>0</v>
      </c>
      <c r="B583" s="12">
        <v>583</v>
      </c>
      <c r="C583" s="12" t="str">
        <f t="shared" si="9"/>
        <v>Trads583</v>
      </c>
    </row>
    <row r="584" spans="1:3">
      <c r="A584" s="425">
        <v>0</v>
      </c>
      <c r="B584" s="12">
        <v>584</v>
      </c>
      <c r="C584" s="12" t="str">
        <f t="shared" si="9"/>
        <v>Trads584</v>
      </c>
    </row>
    <row r="585" spans="1:3">
      <c r="A585" s="425">
        <v>0</v>
      </c>
      <c r="B585" s="12">
        <v>585</v>
      </c>
      <c r="C585" s="12" t="str">
        <f t="shared" si="9"/>
        <v>Trads585</v>
      </c>
    </row>
    <row r="586" spans="1:3">
      <c r="A586" s="425">
        <v>0</v>
      </c>
      <c r="B586" s="12">
        <v>586</v>
      </c>
      <c r="C586" s="12" t="str">
        <f t="shared" si="9"/>
        <v>Trads586</v>
      </c>
    </row>
    <row r="587" spans="1:3">
      <c r="A587" s="425">
        <v>0</v>
      </c>
      <c r="B587" s="12">
        <v>587</v>
      </c>
      <c r="C587" s="12" t="str">
        <f t="shared" si="9"/>
        <v>Trads587</v>
      </c>
    </row>
    <row r="588" spans="1:3">
      <c r="A588" s="425">
        <v>0</v>
      </c>
      <c r="B588" s="12">
        <v>588</v>
      </c>
      <c r="C588" s="12" t="str">
        <f t="shared" si="9"/>
        <v>Trads588</v>
      </c>
    </row>
    <row r="589" spans="1:3">
      <c r="A589" s="425">
        <v>0</v>
      </c>
      <c r="B589" s="12">
        <v>589</v>
      </c>
      <c r="C589" s="12" t="str">
        <f t="shared" si="9"/>
        <v>Trads589</v>
      </c>
    </row>
    <row r="590" spans="1:3">
      <c r="A590" s="425">
        <v>0</v>
      </c>
      <c r="B590" s="12">
        <v>590</v>
      </c>
      <c r="C590" s="12" t="str">
        <f t="shared" si="9"/>
        <v>Trads590</v>
      </c>
    </row>
    <row r="591" spans="1:3">
      <c r="A591" s="425">
        <v>0</v>
      </c>
      <c r="B591" s="12">
        <v>591</v>
      </c>
      <c r="C591" s="12" t="str">
        <f t="shared" si="9"/>
        <v>Trads591</v>
      </c>
    </row>
    <row r="592" spans="1:3">
      <c r="A592" s="425">
        <v>0</v>
      </c>
      <c r="B592" s="12">
        <v>592</v>
      </c>
      <c r="C592" s="12" t="str">
        <f t="shared" si="9"/>
        <v>Trads592</v>
      </c>
    </row>
    <row r="593" spans="1:3">
      <c r="A593" s="425">
        <v>0</v>
      </c>
      <c r="B593" s="12">
        <v>593</v>
      </c>
      <c r="C593" s="12" t="str">
        <f t="shared" si="9"/>
        <v>Trads593</v>
      </c>
    </row>
    <row r="594" spans="1:3">
      <c r="A594" s="425">
        <v>0</v>
      </c>
      <c r="B594" s="12">
        <v>594</v>
      </c>
      <c r="C594" s="12" t="str">
        <f t="shared" si="9"/>
        <v>Trads594</v>
      </c>
    </row>
    <row r="595" spans="1:3">
      <c r="A595" s="425">
        <v>0</v>
      </c>
      <c r="B595" s="12">
        <v>595</v>
      </c>
      <c r="C595" s="12" t="str">
        <f t="shared" si="9"/>
        <v>Trads595</v>
      </c>
    </row>
    <row r="596" spans="1:3">
      <c r="A596" s="425">
        <v>0</v>
      </c>
      <c r="B596" s="12">
        <v>596</v>
      </c>
      <c r="C596" s="12" t="str">
        <f t="shared" si="9"/>
        <v>Trads596</v>
      </c>
    </row>
    <row r="597" spans="1:3">
      <c r="A597" s="425">
        <v>0</v>
      </c>
      <c r="B597" s="12">
        <v>597</v>
      </c>
      <c r="C597" s="12" t="str">
        <f t="shared" si="9"/>
        <v>Trads597</v>
      </c>
    </row>
    <row r="598" spans="1:3">
      <c r="A598" s="425">
        <v>0</v>
      </c>
      <c r="B598" s="12">
        <v>598</v>
      </c>
      <c r="C598" s="12" t="str">
        <f t="shared" si="9"/>
        <v>Trads598</v>
      </c>
    </row>
    <row r="599" spans="1:3">
      <c r="A599" s="425">
        <v>0</v>
      </c>
      <c r="B599" s="12">
        <v>599</v>
      </c>
      <c r="C599" s="12" t="str">
        <f t="shared" si="9"/>
        <v>Trads599</v>
      </c>
    </row>
    <row r="600" spans="1:3">
      <c r="A600" s="425">
        <v>0</v>
      </c>
      <c r="B600" s="12">
        <v>600</v>
      </c>
      <c r="C600" s="12" t="str">
        <f t="shared" si="9"/>
        <v>Trads600</v>
      </c>
    </row>
    <row r="601" spans="1:3">
      <c r="A601" s="425" t="str">
        <v>Calcolo del sistema linea vita "PATROL"</v>
      </c>
      <c r="B601" s="12">
        <v>601</v>
      </c>
      <c r="C601" s="12" t="str">
        <f t="shared" si="9"/>
        <v>Trads601</v>
      </c>
    </row>
    <row r="602" spans="1:3">
      <c r="A602" s="425" t="str">
        <v>Forze e deformazione del sistema</v>
      </c>
      <c r="B602" s="12">
        <v>602</v>
      </c>
      <c r="C602" s="12" t="str">
        <f t="shared" si="9"/>
        <v>Trads602</v>
      </c>
    </row>
    <row r="603" spans="1:3">
      <c r="A603" s="425" t="str">
        <v>Assorbitore-tensionatore</v>
      </c>
      <c r="B603" s="12">
        <v>603</v>
      </c>
      <c r="C603" s="12" t="str">
        <f t="shared" si="9"/>
        <v>Trads603</v>
      </c>
    </row>
    <row r="604" spans="1:3" ht="51">
      <c r="A604" s="425" t="str">
        <v>Non è consigliabile avere una linea di vita con angoli inferiori a 90°. In questi casi, si raccomanda di dividere la linea di vita in quel punto.</v>
      </c>
      <c r="B604" s="12">
        <v>604</v>
      </c>
      <c r="C604" s="12" t="str">
        <f t="shared" si="9"/>
        <v>Trads604</v>
      </c>
    </row>
    <row r="605" spans="1:3">
      <c r="A605" s="425" t="str">
        <v>Numero max di utenti</v>
      </c>
      <c r="B605" s="12">
        <v>605</v>
      </c>
      <c r="C605" s="12" t="str">
        <f t="shared" si="9"/>
        <v>Trads605</v>
      </c>
    </row>
    <row r="606" spans="1:3">
      <c r="A606" s="425" t="str">
        <v>Carichi da manuale di installazione (EN795)</v>
      </c>
      <c r="B606" s="12">
        <v>606</v>
      </c>
      <c r="C606" s="12" t="str">
        <f t="shared" si="9"/>
        <v>Trads606</v>
      </c>
    </row>
    <row r="607" spans="1:3">
      <c r="A607" s="425" t="str">
        <v>Interasse</v>
      </c>
      <c r="B607" s="12">
        <v>607</v>
      </c>
      <c r="C607" s="12" t="str">
        <f t="shared" si="9"/>
        <v>Trads607</v>
      </c>
    </row>
    <row r="608" spans="1:3">
      <c r="A608" s="425" t="str">
        <v>Flessione massima Cavo</v>
      </c>
      <c r="B608" s="12">
        <v>608</v>
      </c>
      <c r="C608" s="12" t="str">
        <f t="shared" si="9"/>
        <v>Trads608</v>
      </c>
    </row>
    <row r="609" spans="1:3">
      <c r="A609" s="425" t="str">
        <v>Fmax</v>
      </c>
      <c r="B609" s="12">
        <v>609</v>
      </c>
      <c r="C609" s="12" t="str">
        <f t="shared" si="9"/>
        <v>Trads609</v>
      </c>
    </row>
    <row r="610" spans="1:3">
      <c r="A610" s="425" t="str">
        <v>Lunghezza massima campata</v>
      </c>
      <c r="B610" s="12">
        <v>610</v>
      </c>
      <c r="C610" s="12" t="str">
        <f t="shared" si="9"/>
        <v>Trads610</v>
      </c>
    </row>
    <row r="611" spans="1:3" ht="25.5">
      <c r="A611" s="425" t="str">
        <v>Carico applicato alla campata all'interno di questo segmento</v>
      </c>
      <c r="B611" s="12">
        <v>611</v>
      </c>
      <c r="C611" s="12" t="str">
        <f t="shared" si="9"/>
        <v>Trads611</v>
      </c>
    </row>
    <row r="612" spans="1:3" ht="25.5">
      <c r="A612" s="425" t="str">
        <v>Reazione sugli elementi di ancoraggio della fune a più campate</v>
      </c>
      <c r="B612" s="12">
        <v>612</v>
      </c>
      <c r="C612" s="12" t="str">
        <f t="shared" si="9"/>
        <v>Trads612</v>
      </c>
    </row>
    <row r="613" spans="1:3">
      <c r="A613" s="425" t="str">
        <v>Curva</v>
      </c>
      <c r="B613" s="12">
        <v>613</v>
      </c>
      <c r="C613" s="12" t="str">
        <f t="shared" si="9"/>
        <v>Trads613</v>
      </c>
    </row>
    <row r="614" spans="1:3">
      <c r="A614" s="425" t="str">
        <v>Carico massimo di progetto</v>
      </c>
      <c r="B614" s="12">
        <v>614</v>
      </c>
      <c r="C614" s="12" t="str">
        <f t="shared" si="9"/>
        <v>Trads614</v>
      </c>
    </row>
    <row r="615" spans="1:3" ht="25.5">
      <c r="A615" s="425" t="str">
        <v>Freccia della fune della campata rispetto ai vincoli delle estremità di giunzione</v>
      </c>
      <c r="B615" s="12">
        <v>615</v>
      </c>
      <c r="C615" s="12" t="str">
        <f t="shared" si="9"/>
        <v>Trads615</v>
      </c>
    </row>
    <row r="616" spans="1:3">
      <c r="A616" s="425" t="str">
        <v>Campata caricata</v>
      </c>
      <c r="B616" s="12">
        <v>616</v>
      </c>
      <c r="C616" s="12" t="str">
        <f t="shared" si="9"/>
        <v>Trads616</v>
      </c>
    </row>
    <row r="617" spans="1:3">
      <c r="A617" s="425" t="str">
        <v>Freccia</v>
      </c>
      <c r="B617" s="12">
        <v>617</v>
      </c>
      <c r="C617" s="12" t="str">
        <f t="shared" si="9"/>
        <v>Trads617</v>
      </c>
    </row>
    <row r="618" spans="1:3">
      <c r="A618" s="425" t="str">
        <v>Modulo</v>
      </c>
      <c r="B618" s="12">
        <v>618</v>
      </c>
      <c r="C618" s="12" t="str">
        <f t="shared" si="9"/>
        <v>Trads618</v>
      </c>
    </row>
    <row r="619" spans="1:3" ht="25.5">
      <c r="A619" s="425" t="str">
        <v xml:space="preserve"> m per l'allungamento della fune già considerato</v>
      </c>
      <c r="B619" s="12">
        <v>619</v>
      </c>
      <c r="C619" s="12" t="str">
        <f t="shared" si="9"/>
        <v>Trads619</v>
      </c>
    </row>
    <row r="620" spans="1:3" ht="51">
      <c r="A620" s="425" t="str">
        <v>Non è consigliabile avere una linea di vita con angoli inferiori a 90°. In questi casi, si raccomanda di dividere la linea di vita in quel punto.</v>
      </c>
      <c r="B620" s="12">
        <v>620</v>
      </c>
      <c r="C620" s="12" t="str">
        <f t="shared" si="9"/>
        <v>Trads620</v>
      </c>
    </row>
    <row r="621" spans="1:3">
      <c r="A621" s="425" t="str">
        <v>Disegnare i segmenti della linea di vita</v>
      </c>
      <c r="B621" s="12">
        <v>621</v>
      </c>
      <c r="C621" s="12" t="str">
        <f t="shared" si="9"/>
        <v>Trads621</v>
      </c>
    </row>
    <row r="622" spans="1:3" ht="25.5">
      <c r="A622" s="425" t="str">
        <v>I fissaggi e gli ancoraggi devono essere gli stessi in tutti i punti di ancoraggio.</v>
      </c>
      <c r="B622" s="12">
        <v>622</v>
      </c>
      <c r="C622" s="12" t="str">
        <f t="shared" si="9"/>
        <v>Trads622</v>
      </c>
    </row>
    <row r="623" spans="1:3" ht="38.25">
      <c r="A623" s="425" t="str">
        <v>Prima della costruzione, tutti i calcoli devono essere verificati e approvati dal progettista responsabile.</v>
      </c>
      <c r="B623" s="12">
        <v>623</v>
      </c>
      <c r="C623" s="12" t="str">
        <f t="shared" si="9"/>
        <v>Trads623</v>
      </c>
    </row>
    <row r="624" spans="1:3">
      <c r="A624" s="425" t="str">
        <v>NOTE</v>
      </c>
      <c r="B624" s="12">
        <v>624</v>
      </c>
      <c r="C624" s="12" t="str">
        <f t="shared" si="9"/>
        <v>Trads624</v>
      </c>
    </row>
    <row r="625" spans="1:3" ht="38.25">
      <c r="A625" s="425" t="str">
        <v>I valori di resistenza meccanica e la geometria si riferiscono alla certificazione del prodotto.</v>
      </c>
      <c r="B625" s="12">
        <v>625</v>
      </c>
      <c r="C625" s="12" t="str">
        <f t="shared" si="9"/>
        <v>Trads625</v>
      </c>
    </row>
    <row r="626" spans="1:3" ht="25.5">
      <c r="A626" s="425" t="str">
        <v>La verifica della resistenza dei sistemi di ancoraggio deve essere realizzata a parte.</v>
      </c>
      <c r="B626" s="12">
        <v>626</v>
      </c>
      <c r="C626" s="12" t="str">
        <f t="shared" si="9"/>
        <v>Trads626</v>
      </c>
    </row>
    <row r="627" spans="1:3" ht="102">
      <c r="A627" s="425" t="str">
        <v>Tutti i calcoli devono essere verificati e approvati dal progettista responsabile prima dell'esecuzione. Il progettista è tenuto a verificare, ad ogni utilizzo, la conformità dei dati alle normative vigenti e al progetto. La responsabilità ultima della scelta del prodotto appropriato per una specifica applicazione spetta al progettista.</v>
      </c>
      <c r="B627" s="12">
        <v>627</v>
      </c>
      <c r="C627" s="12" t="str">
        <f t="shared" si="9"/>
        <v>Trads627</v>
      </c>
    </row>
    <row r="628" spans="1:3" ht="344.25">
      <c r="A628" s="425" t="str">
        <v>I risultati ottenuti in questa scheda sono di natura indicativa e vanno considerati come un servizio tecnico-commerciale nell'ambito dell'attività di vendita di Rotho Blaas srl. Il numero e lo spessore degli inserti devono essere determinati dal progettista responsabile che è tenuto a verificare l'esattezza dei risultati derivanti dall'elaborazione dei dati inseriti. Rotho Blaas srl non garantisce la conformità alla normativa vigente e la progettazione dei calcoli effettuati tramite questo foglio di calcolo. In particolare, in seguito alla modifica delle disposizioni pertinenti, quali ad esempio norme, approvazioni, ecc. il programma potrebbe diventare, in parte o in toto, non valido. Rotho Blaas srl non garantisce e non sarà responsabile per danni o conseguenze dirette o indirette o altro, in qualsiasi modo (garanzia per difetti, garanzia per malfunzionamento, responsabilità del prodotto o legale, ecc.) L'Utente dichiara di utilizzare il foglio di calcolo in qualità di professionista con l'obbligo e la responsabilità di verificare che il foglio di calcolo risponda alle sue specifiche esigenze.</v>
      </c>
      <c r="B628" s="12">
        <v>628</v>
      </c>
      <c r="C628" s="12" t="str">
        <f t="shared" si="9"/>
        <v>Trads628</v>
      </c>
    </row>
    <row r="629" spans="1:3">
      <c r="A629" s="425" t="str">
        <v>ancoraggi alla campata caricata</v>
      </c>
      <c r="B629" s="12">
        <v>629</v>
      </c>
      <c r="C629" s="12" t="str">
        <f t="shared" si="9"/>
        <v>Trads629</v>
      </c>
    </row>
    <row r="630" spans="1:3">
      <c r="A630" s="425" t="str">
        <v>ancoraggi alla campata non caricata</v>
      </c>
      <c r="B630" s="12">
        <v>630</v>
      </c>
      <c r="C630" s="12" t="str">
        <f t="shared" si="9"/>
        <v>Trads630</v>
      </c>
    </row>
    <row r="631" spans="1:3">
      <c r="A631" s="425" t="str">
        <v>Intermedio Tratto</v>
      </c>
      <c r="B631" s="12">
        <v>631</v>
      </c>
      <c r="C631" s="12" t="str">
        <f t="shared" si="9"/>
        <v>Trads631</v>
      </c>
    </row>
    <row r="632" spans="1:3">
      <c r="A632" s="425" t="str">
        <v>Termine la linea vita con Fine o Loop</v>
      </c>
      <c r="B632" s="12">
        <v>632</v>
      </c>
      <c r="C632" s="12" t="str">
        <f t="shared" si="9"/>
        <v>Trads632</v>
      </c>
    </row>
    <row r="633" spans="1:3">
      <c r="A633" s="425" t="str">
        <v>sul Desktop</v>
      </c>
      <c r="B633" s="12">
        <v>633</v>
      </c>
      <c r="C633" s="12" t="str">
        <f t="shared" si="9"/>
        <v>Trads633</v>
      </c>
    </row>
    <row r="634" spans="1:3">
      <c r="A634" s="425">
        <v>0</v>
      </c>
      <c r="B634" s="12">
        <v>634</v>
      </c>
      <c r="C634" s="12" t="str">
        <f t="shared" si="9"/>
        <v>Trads634</v>
      </c>
    </row>
    <row r="635" spans="1:3">
      <c r="A635" s="425">
        <v>0</v>
      </c>
      <c r="B635" s="12">
        <v>635</v>
      </c>
      <c r="C635" s="12" t="str">
        <f t="shared" si="9"/>
        <v>Trads635</v>
      </c>
    </row>
    <row r="636" spans="1:3">
      <c r="A636" s="425">
        <v>0</v>
      </c>
      <c r="B636" s="12">
        <v>636</v>
      </c>
      <c r="C636" s="12" t="str">
        <f t="shared" si="9"/>
        <v>Trads636</v>
      </c>
    </row>
    <row r="637" spans="1:3">
      <c r="A637" s="425">
        <v>0</v>
      </c>
      <c r="B637" s="12">
        <v>637</v>
      </c>
      <c r="C637" s="12" t="str">
        <f t="shared" si="9"/>
        <v>Trads637</v>
      </c>
    </row>
    <row r="638" spans="1:3">
      <c r="A638" s="425">
        <v>0</v>
      </c>
      <c r="B638" s="12">
        <v>638</v>
      </c>
      <c r="C638" s="12" t="str">
        <f t="shared" si="9"/>
        <v>Trads638</v>
      </c>
    </row>
    <row r="639" spans="1:3">
      <c r="A639" s="425">
        <v>0</v>
      </c>
      <c r="B639" s="12">
        <v>639</v>
      </c>
      <c r="C639" s="12" t="str">
        <f t="shared" si="9"/>
        <v>Trads639</v>
      </c>
    </row>
    <row r="640" spans="1:3">
      <c r="A640" s="425">
        <v>0</v>
      </c>
      <c r="B640" s="12">
        <v>640</v>
      </c>
      <c r="C640" s="12" t="str">
        <f t="shared" si="9"/>
        <v>Trads640</v>
      </c>
    </row>
    <row r="641" spans="1:3">
      <c r="A641" s="425">
        <v>0</v>
      </c>
      <c r="B641" s="12">
        <v>641</v>
      </c>
      <c r="C641" s="12" t="str">
        <f t="shared" si="9"/>
        <v>Trads641</v>
      </c>
    </row>
    <row r="642" spans="1:3">
      <c r="A642" s="425">
        <v>0</v>
      </c>
      <c r="B642" s="12">
        <v>642</v>
      </c>
      <c r="C642" s="12" t="str">
        <f t="shared" si="9"/>
        <v>Trads642</v>
      </c>
    </row>
    <row r="643" spans="1:3">
      <c r="A643" s="425">
        <v>0</v>
      </c>
      <c r="B643" s="12">
        <v>643</v>
      </c>
      <c r="C643" s="12" t="str">
        <f t="shared" ref="C643:C706" si="10">+_xlfn.CONCAT("Trads",B643)</f>
        <v>Trads643</v>
      </c>
    </row>
    <row r="644" spans="1:3">
      <c r="A644" s="425">
        <v>0</v>
      </c>
      <c r="B644" s="12">
        <v>644</v>
      </c>
      <c r="C644" s="12" t="str">
        <f t="shared" si="10"/>
        <v>Trads644</v>
      </c>
    </row>
    <row r="645" spans="1:3">
      <c r="A645" s="425">
        <v>0</v>
      </c>
      <c r="B645" s="12">
        <v>645</v>
      </c>
      <c r="C645" s="12" t="str">
        <f t="shared" si="10"/>
        <v>Trads645</v>
      </c>
    </row>
    <row r="646" spans="1:3">
      <c r="A646" s="425">
        <v>0</v>
      </c>
      <c r="B646" s="12">
        <v>646</v>
      </c>
      <c r="C646" s="12" t="str">
        <f t="shared" si="10"/>
        <v>Trads646</v>
      </c>
    </row>
    <row r="647" spans="1:3">
      <c r="A647" s="425">
        <v>0</v>
      </c>
      <c r="B647" s="12">
        <v>647</v>
      </c>
      <c r="C647" s="12" t="str">
        <f t="shared" si="10"/>
        <v>Trads647</v>
      </c>
    </row>
    <row r="648" spans="1:3">
      <c r="A648" s="425">
        <v>0</v>
      </c>
      <c r="B648" s="12">
        <v>648</v>
      </c>
      <c r="C648" s="12" t="str">
        <f t="shared" si="10"/>
        <v>Trads648</v>
      </c>
    </row>
    <row r="649" spans="1:3">
      <c r="A649" s="425">
        <v>0</v>
      </c>
      <c r="B649" s="12">
        <v>649</v>
      </c>
      <c r="C649" s="12" t="str">
        <f t="shared" si="10"/>
        <v>Trads649</v>
      </c>
    </row>
    <row r="650" spans="1:3">
      <c r="A650" s="425">
        <v>0</v>
      </c>
      <c r="B650" s="12">
        <v>650</v>
      </c>
      <c r="C650" s="12" t="str">
        <f t="shared" si="10"/>
        <v>Trads650</v>
      </c>
    </row>
    <row r="651" spans="1:3">
      <c r="A651" s="425">
        <v>0</v>
      </c>
      <c r="B651" s="12">
        <v>651</v>
      </c>
      <c r="C651" s="12" t="str">
        <f t="shared" si="10"/>
        <v>Trads651</v>
      </c>
    </row>
    <row r="652" spans="1:3">
      <c r="A652" s="425">
        <v>0</v>
      </c>
      <c r="B652" s="12">
        <v>652</v>
      </c>
      <c r="C652" s="12" t="str">
        <f t="shared" si="10"/>
        <v>Trads652</v>
      </c>
    </row>
    <row r="653" spans="1:3">
      <c r="A653" s="425">
        <v>0</v>
      </c>
      <c r="B653" s="12">
        <v>653</v>
      </c>
      <c r="C653" s="12" t="str">
        <f t="shared" si="10"/>
        <v>Trads653</v>
      </c>
    </row>
    <row r="654" spans="1:3">
      <c r="A654" s="425">
        <v>0</v>
      </c>
      <c r="B654" s="12">
        <v>654</v>
      </c>
      <c r="C654" s="12" t="str">
        <f t="shared" si="10"/>
        <v>Trads654</v>
      </c>
    </row>
    <row r="655" spans="1:3">
      <c r="A655" s="425">
        <v>0</v>
      </c>
      <c r="B655" s="12">
        <v>655</v>
      </c>
      <c r="C655" s="12" t="str">
        <f t="shared" si="10"/>
        <v>Trads655</v>
      </c>
    </row>
    <row r="656" spans="1:3">
      <c r="A656" s="425">
        <v>0</v>
      </c>
      <c r="B656" s="12">
        <v>656</v>
      </c>
      <c r="C656" s="12" t="str">
        <f t="shared" si="10"/>
        <v>Trads656</v>
      </c>
    </row>
    <row r="657" spans="1:3">
      <c r="A657" s="425">
        <v>0</v>
      </c>
      <c r="B657" s="12">
        <v>657</v>
      </c>
      <c r="C657" s="12" t="str">
        <f t="shared" si="10"/>
        <v>Trads657</v>
      </c>
    </row>
    <row r="658" spans="1:3">
      <c r="A658" s="425">
        <v>0</v>
      </c>
      <c r="B658" s="12">
        <v>658</v>
      </c>
      <c r="C658" s="12" t="str">
        <f t="shared" si="10"/>
        <v>Trads658</v>
      </c>
    </row>
    <row r="659" spans="1:3">
      <c r="A659" s="425">
        <v>0</v>
      </c>
      <c r="B659" s="12">
        <v>659</v>
      </c>
      <c r="C659" s="12" t="str">
        <f t="shared" si="10"/>
        <v>Trads659</v>
      </c>
    </row>
    <row r="660" spans="1:3">
      <c r="A660" s="425">
        <v>0</v>
      </c>
      <c r="B660" s="12">
        <v>660</v>
      </c>
      <c r="C660" s="12" t="str">
        <f t="shared" si="10"/>
        <v>Trads660</v>
      </c>
    </row>
    <row r="661" spans="1:3">
      <c r="A661" s="425">
        <v>0</v>
      </c>
      <c r="B661" s="12">
        <v>661</v>
      </c>
      <c r="C661" s="12" t="str">
        <f t="shared" si="10"/>
        <v>Trads661</v>
      </c>
    </row>
    <row r="662" spans="1:3">
      <c r="A662" s="425">
        <v>0</v>
      </c>
      <c r="B662" s="12">
        <v>662</v>
      </c>
      <c r="C662" s="12" t="str">
        <f t="shared" si="10"/>
        <v>Trads662</v>
      </c>
    </row>
    <row r="663" spans="1:3">
      <c r="A663" s="425">
        <v>0</v>
      </c>
      <c r="B663" s="12">
        <v>663</v>
      </c>
      <c r="C663" s="12" t="str">
        <f t="shared" si="10"/>
        <v>Trads663</v>
      </c>
    </row>
    <row r="664" spans="1:3">
      <c r="A664" s="425">
        <v>0</v>
      </c>
      <c r="B664" s="12">
        <v>664</v>
      </c>
      <c r="C664" s="12" t="str">
        <f t="shared" si="10"/>
        <v>Trads664</v>
      </c>
    </row>
    <row r="665" spans="1:3">
      <c r="A665" s="425">
        <v>0</v>
      </c>
      <c r="B665" s="12">
        <v>665</v>
      </c>
      <c r="C665" s="12" t="str">
        <f t="shared" si="10"/>
        <v>Trads665</v>
      </c>
    </row>
    <row r="666" spans="1:3">
      <c r="A666" s="425">
        <v>0</v>
      </c>
      <c r="B666" s="12">
        <v>666</v>
      </c>
      <c r="C666" s="12" t="str">
        <f t="shared" si="10"/>
        <v>Trads666</v>
      </c>
    </row>
    <row r="667" spans="1:3">
      <c r="A667" s="425">
        <v>0</v>
      </c>
      <c r="B667" s="12">
        <v>667</v>
      </c>
      <c r="C667" s="12" t="str">
        <f t="shared" si="10"/>
        <v>Trads667</v>
      </c>
    </row>
    <row r="668" spans="1:3">
      <c r="A668" s="425">
        <v>0</v>
      </c>
      <c r="B668" s="12">
        <v>668</v>
      </c>
      <c r="C668" s="12" t="str">
        <f t="shared" si="10"/>
        <v>Trads668</v>
      </c>
    </row>
    <row r="669" spans="1:3">
      <c r="A669" s="425">
        <v>0</v>
      </c>
      <c r="B669" s="12">
        <v>669</v>
      </c>
      <c r="C669" s="12" t="str">
        <f t="shared" si="10"/>
        <v>Trads669</v>
      </c>
    </row>
    <row r="670" spans="1:3">
      <c r="A670" s="425">
        <v>0</v>
      </c>
      <c r="B670" s="12">
        <v>670</v>
      </c>
      <c r="C670" s="12" t="str">
        <f t="shared" si="10"/>
        <v>Trads670</v>
      </c>
    </row>
    <row r="671" spans="1:3">
      <c r="A671" s="425">
        <v>0</v>
      </c>
      <c r="B671" s="12">
        <v>671</v>
      </c>
      <c r="C671" s="12" t="str">
        <f t="shared" si="10"/>
        <v>Trads671</v>
      </c>
    </row>
    <row r="672" spans="1:3">
      <c r="A672" s="425">
        <v>0</v>
      </c>
      <c r="B672" s="12">
        <v>672</v>
      </c>
      <c r="C672" s="12" t="str">
        <f t="shared" si="10"/>
        <v>Trads672</v>
      </c>
    </row>
    <row r="673" spans="1:3">
      <c r="A673" s="425">
        <v>0</v>
      </c>
      <c r="B673" s="12">
        <v>673</v>
      </c>
      <c r="C673" s="12" t="str">
        <f t="shared" si="10"/>
        <v>Trads673</v>
      </c>
    </row>
    <row r="674" spans="1:3">
      <c r="A674" s="425">
        <v>0</v>
      </c>
      <c r="B674" s="12">
        <v>674</v>
      </c>
      <c r="C674" s="12" t="str">
        <f t="shared" si="10"/>
        <v>Trads674</v>
      </c>
    </row>
    <row r="675" spans="1:3">
      <c r="A675" s="425">
        <v>0</v>
      </c>
      <c r="B675" s="12">
        <v>675</v>
      </c>
      <c r="C675" s="12" t="str">
        <f t="shared" si="10"/>
        <v>Trads675</v>
      </c>
    </row>
    <row r="676" spans="1:3">
      <c r="A676" s="425">
        <v>0</v>
      </c>
      <c r="B676" s="12">
        <v>676</v>
      </c>
      <c r="C676" s="12" t="str">
        <f t="shared" si="10"/>
        <v>Trads676</v>
      </c>
    </row>
    <row r="677" spans="1:3">
      <c r="A677" s="425">
        <v>0</v>
      </c>
      <c r="B677" s="12">
        <v>677</v>
      </c>
      <c r="C677" s="12" t="str">
        <f t="shared" si="10"/>
        <v>Trads677</v>
      </c>
    </row>
    <row r="678" spans="1:3">
      <c r="A678" s="425">
        <v>0</v>
      </c>
      <c r="B678" s="12">
        <v>678</v>
      </c>
      <c r="C678" s="12" t="str">
        <f t="shared" si="10"/>
        <v>Trads678</v>
      </c>
    </row>
    <row r="679" spans="1:3">
      <c r="A679" s="425">
        <v>0</v>
      </c>
      <c r="B679" s="12">
        <v>679</v>
      </c>
      <c r="C679" s="12" t="str">
        <f t="shared" si="10"/>
        <v>Trads679</v>
      </c>
    </row>
    <row r="680" spans="1:3">
      <c r="A680" s="425">
        <v>0</v>
      </c>
      <c r="B680" s="12">
        <v>680</v>
      </c>
      <c r="C680" s="12" t="str">
        <f t="shared" si="10"/>
        <v>Trads680</v>
      </c>
    </row>
    <row r="681" spans="1:3">
      <c r="A681" s="425">
        <v>0</v>
      </c>
      <c r="B681" s="12">
        <v>681</v>
      </c>
      <c r="C681" s="12" t="str">
        <f t="shared" si="10"/>
        <v>Trads681</v>
      </c>
    </row>
    <row r="682" spans="1:3">
      <c r="A682" s="425">
        <v>0</v>
      </c>
      <c r="B682" s="12">
        <v>682</v>
      </c>
      <c r="C682" s="12" t="str">
        <f t="shared" si="10"/>
        <v>Trads682</v>
      </c>
    </row>
    <row r="683" spans="1:3">
      <c r="A683" s="425">
        <v>0</v>
      </c>
      <c r="B683" s="12">
        <v>683</v>
      </c>
      <c r="C683" s="12" t="str">
        <f t="shared" si="10"/>
        <v>Trads683</v>
      </c>
    </row>
    <row r="684" spans="1:3">
      <c r="A684" s="425">
        <v>0</v>
      </c>
      <c r="B684" s="12">
        <v>684</v>
      </c>
      <c r="C684" s="12" t="str">
        <f t="shared" si="10"/>
        <v>Trads684</v>
      </c>
    </row>
    <row r="685" spans="1:3">
      <c r="A685" s="425">
        <v>0</v>
      </c>
      <c r="B685" s="12">
        <v>685</v>
      </c>
      <c r="C685" s="12" t="str">
        <f t="shared" si="10"/>
        <v>Trads685</v>
      </c>
    </row>
    <row r="686" spans="1:3">
      <c r="A686" s="425">
        <v>0</v>
      </c>
      <c r="B686" s="12">
        <v>686</v>
      </c>
      <c r="C686" s="12" t="str">
        <f t="shared" si="10"/>
        <v>Trads686</v>
      </c>
    </row>
    <row r="687" spans="1:3">
      <c r="A687" s="425">
        <v>0</v>
      </c>
      <c r="B687" s="12">
        <v>687</v>
      </c>
      <c r="C687" s="12" t="str">
        <f t="shared" si="10"/>
        <v>Trads687</v>
      </c>
    </row>
    <row r="688" spans="1:3">
      <c r="A688" s="425">
        <v>0</v>
      </c>
      <c r="B688" s="12">
        <v>688</v>
      </c>
      <c r="C688" s="12" t="str">
        <f t="shared" si="10"/>
        <v>Trads688</v>
      </c>
    </row>
    <row r="689" spans="1:3">
      <c r="A689" s="425">
        <v>0</v>
      </c>
      <c r="B689" s="12">
        <v>689</v>
      </c>
      <c r="C689" s="12" t="str">
        <f t="shared" si="10"/>
        <v>Trads689</v>
      </c>
    </row>
    <row r="690" spans="1:3">
      <c r="A690" s="425">
        <v>0</v>
      </c>
      <c r="B690" s="12">
        <v>690</v>
      </c>
      <c r="C690" s="12" t="str">
        <f t="shared" si="10"/>
        <v>Trads690</v>
      </c>
    </row>
    <row r="691" spans="1:3">
      <c r="A691" s="425">
        <v>0</v>
      </c>
      <c r="B691" s="12">
        <v>691</v>
      </c>
      <c r="C691" s="12" t="str">
        <f t="shared" si="10"/>
        <v>Trads691</v>
      </c>
    </row>
    <row r="692" spans="1:3">
      <c r="A692" s="425">
        <v>0</v>
      </c>
      <c r="B692" s="12">
        <v>692</v>
      </c>
      <c r="C692" s="12" t="str">
        <f t="shared" si="10"/>
        <v>Trads692</v>
      </c>
    </row>
    <row r="693" spans="1:3">
      <c r="A693" s="425">
        <v>0</v>
      </c>
      <c r="B693" s="12">
        <v>693</v>
      </c>
      <c r="C693" s="12" t="str">
        <f t="shared" si="10"/>
        <v>Trads693</v>
      </c>
    </row>
    <row r="694" spans="1:3">
      <c r="A694" s="425">
        <v>0</v>
      </c>
      <c r="B694" s="12">
        <v>694</v>
      </c>
      <c r="C694" s="12" t="str">
        <f t="shared" si="10"/>
        <v>Trads694</v>
      </c>
    </row>
    <row r="695" spans="1:3">
      <c r="A695" s="425">
        <v>0</v>
      </c>
      <c r="B695" s="12">
        <v>695</v>
      </c>
      <c r="C695" s="12" t="str">
        <f t="shared" si="10"/>
        <v>Trads695</v>
      </c>
    </row>
    <row r="696" spans="1:3">
      <c r="A696" s="425">
        <v>0</v>
      </c>
      <c r="B696" s="12">
        <v>696</v>
      </c>
      <c r="C696" s="12" t="str">
        <f t="shared" si="10"/>
        <v>Trads696</v>
      </c>
    </row>
    <row r="697" spans="1:3">
      <c r="A697" s="425">
        <v>0</v>
      </c>
      <c r="B697" s="12">
        <v>697</v>
      </c>
      <c r="C697" s="12" t="str">
        <f t="shared" si="10"/>
        <v>Trads697</v>
      </c>
    </row>
    <row r="698" spans="1:3">
      <c r="A698" s="425">
        <v>0</v>
      </c>
      <c r="B698" s="12">
        <v>698</v>
      </c>
      <c r="C698" s="12" t="str">
        <f t="shared" si="10"/>
        <v>Trads698</v>
      </c>
    </row>
    <row r="699" spans="1:3">
      <c r="A699" s="425">
        <v>0</v>
      </c>
      <c r="B699" s="12">
        <v>699</v>
      </c>
      <c r="C699" s="12" t="str">
        <f t="shared" si="10"/>
        <v>Trads699</v>
      </c>
    </row>
    <row r="700" spans="1:3">
      <c r="A700" s="425">
        <v>0</v>
      </c>
      <c r="B700" s="12">
        <v>700</v>
      </c>
      <c r="C700" s="12" t="str">
        <f t="shared" si="10"/>
        <v>Trads700</v>
      </c>
    </row>
    <row r="701" spans="1:3">
      <c r="A701" s="425">
        <v>0</v>
      </c>
      <c r="B701" s="12">
        <v>701</v>
      </c>
      <c r="C701" s="12" t="str">
        <f t="shared" si="10"/>
        <v>Trads701</v>
      </c>
    </row>
    <row r="702" spans="1:3">
      <c r="A702" s="425">
        <v>0</v>
      </c>
      <c r="B702" s="12">
        <v>702</v>
      </c>
      <c r="C702" s="12" t="str">
        <f t="shared" si="10"/>
        <v>Trads702</v>
      </c>
    </row>
    <row r="703" spans="1:3">
      <c r="A703" s="425">
        <v>0</v>
      </c>
      <c r="B703" s="12">
        <v>703</v>
      </c>
      <c r="C703" s="12" t="str">
        <f t="shared" si="10"/>
        <v>Trads703</v>
      </c>
    </row>
    <row r="704" spans="1:3">
      <c r="A704" s="425">
        <v>0</v>
      </c>
      <c r="B704" s="12">
        <v>704</v>
      </c>
      <c r="C704" s="12" t="str">
        <f t="shared" si="10"/>
        <v>Trads704</v>
      </c>
    </row>
    <row r="705" spans="1:3">
      <c r="A705" s="425">
        <v>0</v>
      </c>
      <c r="B705" s="12">
        <v>705</v>
      </c>
      <c r="C705" s="12" t="str">
        <f t="shared" si="10"/>
        <v>Trads705</v>
      </c>
    </row>
    <row r="706" spans="1:3">
      <c r="A706" s="425">
        <v>0</v>
      </c>
      <c r="B706" s="12">
        <v>706</v>
      </c>
      <c r="C706" s="12" t="str">
        <f t="shared" si="10"/>
        <v>Trads706</v>
      </c>
    </row>
    <row r="707" spans="1:3">
      <c r="A707" s="425">
        <v>0</v>
      </c>
      <c r="B707" s="12">
        <v>707</v>
      </c>
      <c r="C707" s="12" t="str">
        <f t="shared" ref="C707:C770" si="11">+_xlfn.CONCAT("Trads",B707)</f>
        <v>Trads707</v>
      </c>
    </row>
    <row r="708" spans="1:3">
      <c r="A708" s="425">
        <v>0</v>
      </c>
      <c r="B708" s="12">
        <v>708</v>
      </c>
      <c r="C708" s="12" t="str">
        <f t="shared" si="11"/>
        <v>Trads708</v>
      </c>
    </row>
    <row r="709" spans="1:3">
      <c r="A709" s="425">
        <v>0</v>
      </c>
      <c r="B709" s="12">
        <v>709</v>
      </c>
      <c r="C709" s="12" t="str">
        <f t="shared" si="11"/>
        <v>Trads709</v>
      </c>
    </row>
    <row r="710" spans="1:3">
      <c r="A710" s="425">
        <v>0</v>
      </c>
      <c r="B710" s="12">
        <v>710</v>
      </c>
      <c r="C710" s="12" t="str">
        <f t="shared" si="11"/>
        <v>Trads710</v>
      </c>
    </row>
    <row r="711" spans="1:3">
      <c r="A711" s="425">
        <v>0</v>
      </c>
      <c r="B711" s="12">
        <v>711</v>
      </c>
      <c r="C711" s="12" t="str">
        <f t="shared" si="11"/>
        <v>Trads711</v>
      </c>
    </row>
    <row r="712" spans="1:3">
      <c r="A712" s="425">
        <v>0</v>
      </c>
      <c r="B712" s="12">
        <v>712</v>
      </c>
      <c r="C712" s="12" t="str">
        <f t="shared" si="11"/>
        <v>Trads712</v>
      </c>
    </row>
    <row r="713" spans="1:3">
      <c r="A713" s="425">
        <v>0</v>
      </c>
      <c r="B713" s="12">
        <v>713</v>
      </c>
      <c r="C713" s="12" t="str">
        <f t="shared" si="11"/>
        <v>Trads713</v>
      </c>
    </row>
    <row r="714" spans="1:3">
      <c r="A714" s="425">
        <v>0</v>
      </c>
      <c r="B714" s="12">
        <v>714</v>
      </c>
      <c r="C714" s="12" t="str">
        <f t="shared" si="11"/>
        <v>Trads714</v>
      </c>
    </row>
    <row r="715" spans="1:3">
      <c r="A715" s="425">
        <v>0</v>
      </c>
      <c r="B715" s="12">
        <v>715</v>
      </c>
      <c r="C715" s="12" t="str">
        <f t="shared" si="11"/>
        <v>Trads715</v>
      </c>
    </row>
    <row r="716" spans="1:3">
      <c r="A716" s="425">
        <v>0</v>
      </c>
      <c r="B716" s="12">
        <v>716</v>
      </c>
      <c r="C716" s="12" t="str">
        <f t="shared" si="11"/>
        <v>Trads716</v>
      </c>
    </row>
    <row r="717" spans="1:3">
      <c r="A717" s="425">
        <v>0</v>
      </c>
      <c r="B717" s="12">
        <v>717</v>
      </c>
      <c r="C717" s="12" t="str">
        <f t="shared" si="11"/>
        <v>Trads717</v>
      </c>
    </row>
    <row r="718" spans="1:3">
      <c r="A718" s="425">
        <v>0</v>
      </c>
      <c r="B718" s="12">
        <v>718</v>
      </c>
      <c r="C718" s="12" t="str">
        <f t="shared" si="11"/>
        <v>Trads718</v>
      </c>
    </row>
    <row r="719" spans="1:3">
      <c r="A719" s="425">
        <v>0</v>
      </c>
      <c r="B719" s="12">
        <v>719</v>
      </c>
      <c r="C719" s="12" t="str">
        <f t="shared" si="11"/>
        <v>Trads719</v>
      </c>
    </row>
    <row r="720" spans="1:3">
      <c r="A720" s="425">
        <v>0</v>
      </c>
      <c r="B720" s="12">
        <v>720</v>
      </c>
      <c r="C720" s="12" t="str">
        <f t="shared" si="11"/>
        <v>Trads720</v>
      </c>
    </row>
    <row r="721" spans="1:3">
      <c r="A721" s="425">
        <v>0</v>
      </c>
      <c r="B721" s="12">
        <v>721</v>
      </c>
      <c r="C721" s="12" t="str">
        <f t="shared" si="11"/>
        <v>Trads721</v>
      </c>
    </row>
    <row r="722" spans="1:3">
      <c r="A722" s="425">
        <v>0</v>
      </c>
      <c r="B722" s="12">
        <v>722</v>
      </c>
      <c r="C722" s="12" t="str">
        <f t="shared" si="11"/>
        <v>Trads722</v>
      </c>
    </row>
    <row r="723" spans="1:3">
      <c r="A723" s="425">
        <v>0</v>
      </c>
      <c r="B723" s="12">
        <v>723</v>
      </c>
      <c r="C723" s="12" t="str">
        <f t="shared" si="11"/>
        <v>Trads723</v>
      </c>
    </row>
    <row r="724" spans="1:3">
      <c r="A724" s="425">
        <v>0</v>
      </c>
      <c r="B724" s="12">
        <v>724</v>
      </c>
      <c r="C724" s="12" t="str">
        <f t="shared" si="11"/>
        <v>Trads724</v>
      </c>
    </row>
    <row r="725" spans="1:3">
      <c r="A725" s="425">
        <v>0</v>
      </c>
      <c r="B725" s="12">
        <v>725</v>
      </c>
      <c r="C725" s="12" t="str">
        <f t="shared" si="11"/>
        <v>Trads725</v>
      </c>
    </row>
    <row r="726" spans="1:3">
      <c r="A726" s="425">
        <v>0</v>
      </c>
      <c r="B726" s="12">
        <v>726</v>
      </c>
      <c r="C726" s="12" t="str">
        <f t="shared" si="11"/>
        <v>Trads726</v>
      </c>
    </row>
    <row r="727" spans="1:3">
      <c r="A727" s="425">
        <v>0</v>
      </c>
      <c r="B727" s="12">
        <v>727</v>
      </c>
      <c r="C727" s="12" t="str">
        <f t="shared" si="11"/>
        <v>Trads727</v>
      </c>
    </row>
    <row r="728" spans="1:3">
      <c r="A728" s="425">
        <v>0</v>
      </c>
      <c r="B728" s="12">
        <v>728</v>
      </c>
      <c r="C728" s="12" t="str">
        <f t="shared" si="11"/>
        <v>Trads728</v>
      </c>
    </row>
    <row r="729" spans="1:3">
      <c r="A729" s="425">
        <v>0</v>
      </c>
      <c r="B729" s="12">
        <v>729</v>
      </c>
      <c r="C729" s="12" t="str">
        <f t="shared" si="11"/>
        <v>Trads729</v>
      </c>
    </row>
    <row r="730" spans="1:3">
      <c r="A730" s="425">
        <v>0</v>
      </c>
      <c r="B730" s="12">
        <v>730</v>
      </c>
      <c r="C730" s="12" t="str">
        <f t="shared" si="11"/>
        <v>Trads730</v>
      </c>
    </row>
    <row r="731" spans="1:3">
      <c r="A731" s="425">
        <v>0</v>
      </c>
      <c r="B731" s="12">
        <v>731</v>
      </c>
      <c r="C731" s="12" t="str">
        <f t="shared" si="11"/>
        <v>Trads731</v>
      </c>
    </row>
    <row r="732" spans="1:3">
      <c r="A732" s="425">
        <v>0</v>
      </c>
      <c r="B732" s="12">
        <v>732</v>
      </c>
      <c r="C732" s="12" t="str">
        <f t="shared" si="11"/>
        <v>Trads732</v>
      </c>
    </row>
    <row r="733" spans="1:3">
      <c r="A733" s="425">
        <v>0</v>
      </c>
      <c r="B733" s="12">
        <v>733</v>
      </c>
      <c r="C733" s="12" t="str">
        <f t="shared" si="11"/>
        <v>Trads733</v>
      </c>
    </row>
    <row r="734" spans="1:3">
      <c r="A734" s="425">
        <v>0</v>
      </c>
      <c r="B734" s="12">
        <v>734</v>
      </c>
      <c r="C734" s="12" t="str">
        <f t="shared" si="11"/>
        <v>Trads734</v>
      </c>
    </row>
    <row r="735" spans="1:3">
      <c r="A735" s="425">
        <v>0</v>
      </c>
      <c r="B735" s="12">
        <v>735</v>
      </c>
      <c r="C735" s="12" t="str">
        <f t="shared" si="11"/>
        <v>Trads735</v>
      </c>
    </row>
    <row r="736" spans="1:3">
      <c r="A736" s="425">
        <v>0</v>
      </c>
      <c r="B736" s="12">
        <v>736</v>
      </c>
      <c r="C736" s="12" t="str">
        <f t="shared" si="11"/>
        <v>Trads736</v>
      </c>
    </row>
    <row r="737" spans="1:3">
      <c r="A737" s="425">
        <v>0</v>
      </c>
      <c r="B737" s="12">
        <v>737</v>
      </c>
      <c r="C737" s="12" t="str">
        <f t="shared" si="11"/>
        <v>Trads737</v>
      </c>
    </row>
    <row r="738" spans="1:3">
      <c r="A738" s="425">
        <v>0</v>
      </c>
      <c r="B738" s="12">
        <v>738</v>
      </c>
      <c r="C738" s="12" t="str">
        <f t="shared" si="11"/>
        <v>Trads738</v>
      </c>
    </row>
    <row r="739" spans="1:3">
      <c r="A739" s="425">
        <v>0</v>
      </c>
      <c r="B739" s="12">
        <v>739</v>
      </c>
      <c r="C739" s="12" t="str">
        <f t="shared" si="11"/>
        <v>Trads739</v>
      </c>
    </row>
    <row r="740" spans="1:3">
      <c r="A740" s="425">
        <v>0</v>
      </c>
      <c r="B740" s="12">
        <v>740</v>
      </c>
      <c r="C740" s="12" t="str">
        <f t="shared" si="11"/>
        <v>Trads740</v>
      </c>
    </row>
    <row r="741" spans="1:3">
      <c r="A741" s="425">
        <v>0</v>
      </c>
      <c r="B741" s="12">
        <v>741</v>
      </c>
      <c r="C741" s="12" t="str">
        <f t="shared" si="11"/>
        <v>Trads741</v>
      </c>
    </row>
    <row r="742" spans="1:3">
      <c r="A742" s="425">
        <v>0</v>
      </c>
      <c r="B742" s="12">
        <v>742</v>
      </c>
      <c r="C742" s="12" t="str">
        <f t="shared" si="11"/>
        <v>Trads742</v>
      </c>
    </row>
    <row r="743" spans="1:3">
      <c r="A743" s="425">
        <v>0</v>
      </c>
      <c r="B743" s="12">
        <v>743</v>
      </c>
      <c r="C743" s="12" t="str">
        <f t="shared" si="11"/>
        <v>Trads743</v>
      </c>
    </row>
    <row r="744" spans="1:3">
      <c r="A744" s="425">
        <v>0</v>
      </c>
      <c r="B744" s="12">
        <v>744</v>
      </c>
      <c r="C744" s="12" t="str">
        <f t="shared" si="11"/>
        <v>Trads744</v>
      </c>
    </row>
    <row r="745" spans="1:3">
      <c r="A745" s="425">
        <v>0</v>
      </c>
      <c r="B745" s="12">
        <v>745</v>
      </c>
      <c r="C745" s="12" t="str">
        <f t="shared" si="11"/>
        <v>Trads745</v>
      </c>
    </row>
    <row r="746" spans="1:3">
      <c r="A746" s="425">
        <v>0</v>
      </c>
      <c r="B746" s="12">
        <v>746</v>
      </c>
      <c r="C746" s="12" t="str">
        <f t="shared" si="11"/>
        <v>Trads746</v>
      </c>
    </row>
    <row r="747" spans="1:3">
      <c r="A747" s="425">
        <v>0</v>
      </c>
      <c r="B747" s="12">
        <v>747</v>
      </c>
      <c r="C747" s="12" t="str">
        <f t="shared" si="11"/>
        <v>Trads747</v>
      </c>
    </row>
    <row r="748" spans="1:3">
      <c r="A748" s="425">
        <v>0</v>
      </c>
      <c r="B748" s="12">
        <v>748</v>
      </c>
      <c r="C748" s="12" t="str">
        <f t="shared" si="11"/>
        <v>Trads748</v>
      </c>
    </row>
    <row r="749" spans="1:3">
      <c r="A749" s="425">
        <v>0</v>
      </c>
      <c r="B749" s="12">
        <v>749</v>
      </c>
      <c r="C749" s="12" t="str">
        <f t="shared" si="11"/>
        <v>Trads749</v>
      </c>
    </row>
    <row r="750" spans="1:3">
      <c r="A750" s="425">
        <v>0</v>
      </c>
      <c r="B750" s="12">
        <v>750</v>
      </c>
      <c r="C750" s="12" t="str">
        <f t="shared" si="11"/>
        <v>Trads750</v>
      </c>
    </row>
    <row r="751" spans="1:3">
      <c r="A751" s="425">
        <v>0</v>
      </c>
      <c r="B751" s="12">
        <v>751</v>
      </c>
      <c r="C751" s="12" t="str">
        <f t="shared" si="11"/>
        <v>Trads751</v>
      </c>
    </row>
    <row r="752" spans="1:3">
      <c r="A752" s="425">
        <v>0</v>
      </c>
      <c r="B752" s="12">
        <v>752</v>
      </c>
      <c r="C752" s="12" t="str">
        <f t="shared" si="11"/>
        <v>Trads752</v>
      </c>
    </row>
    <row r="753" spans="1:3">
      <c r="A753" s="425">
        <v>0</v>
      </c>
      <c r="B753" s="12">
        <v>753</v>
      </c>
      <c r="C753" s="12" t="str">
        <f t="shared" si="11"/>
        <v>Trads753</v>
      </c>
    </row>
    <row r="754" spans="1:3">
      <c r="A754" s="425">
        <v>0</v>
      </c>
      <c r="B754" s="12">
        <v>754</v>
      </c>
      <c r="C754" s="12" t="str">
        <f t="shared" si="11"/>
        <v>Trads754</v>
      </c>
    </row>
    <row r="755" spans="1:3">
      <c r="A755" s="425">
        <v>0</v>
      </c>
      <c r="B755" s="12">
        <v>755</v>
      </c>
      <c r="C755" s="12" t="str">
        <f t="shared" si="11"/>
        <v>Trads755</v>
      </c>
    </row>
    <row r="756" spans="1:3">
      <c r="A756" s="425">
        <v>0</v>
      </c>
      <c r="B756" s="12">
        <v>756</v>
      </c>
      <c r="C756" s="12" t="str">
        <f t="shared" si="11"/>
        <v>Trads756</v>
      </c>
    </row>
    <row r="757" spans="1:3">
      <c r="A757" s="425">
        <v>0</v>
      </c>
      <c r="B757" s="12">
        <v>757</v>
      </c>
      <c r="C757" s="12" t="str">
        <f t="shared" si="11"/>
        <v>Trads757</v>
      </c>
    </row>
    <row r="758" spans="1:3">
      <c r="A758" s="425">
        <v>0</v>
      </c>
      <c r="B758" s="12">
        <v>758</v>
      </c>
      <c r="C758" s="12" t="str">
        <f t="shared" si="11"/>
        <v>Trads758</v>
      </c>
    </row>
    <row r="759" spans="1:3">
      <c r="A759" s="425">
        <v>0</v>
      </c>
      <c r="B759" s="12">
        <v>759</v>
      </c>
      <c r="C759" s="12" t="str">
        <f t="shared" si="11"/>
        <v>Trads759</v>
      </c>
    </row>
    <row r="760" spans="1:3">
      <c r="A760" s="425">
        <v>0</v>
      </c>
      <c r="B760" s="12">
        <v>760</v>
      </c>
      <c r="C760" s="12" t="str">
        <f t="shared" si="11"/>
        <v>Trads760</v>
      </c>
    </row>
    <row r="761" spans="1:3">
      <c r="A761" s="425">
        <v>0</v>
      </c>
      <c r="B761" s="12">
        <v>761</v>
      </c>
      <c r="C761" s="12" t="str">
        <f t="shared" si="11"/>
        <v>Trads761</v>
      </c>
    </row>
    <row r="762" spans="1:3">
      <c r="A762" s="425">
        <v>0</v>
      </c>
      <c r="B762" s="12">
        <v>762</v>
      </c>
      <c r="C762" s="12" t="str">
        <f t="shared" si="11"/>
        <v>Trads762</v>
      </c>
    </row>
    <row r="763" spans="1:3">
      <c r="A763" s="425">
        <v>0</v>
      </c>
      <c r="B763" s="12">
        <v>763</v>
      </c>
      <c r="C763" s="12" t="str">
        <f t="shared" si="11"/>
        <v>Trads763</v>
      </c>
    </row>
    <row r="764" spans="1:3">
      <c r="A764" s="425">
        <v>0</v>
      </c>
      <c r="B764" s="12">
        <v>764</v>
      </c>
      <c r="C764" s="12" t="str">
        <f t="shared" si="11"/>
        <v>Trads764</v>
      </c>
    </row>
    <row r="765" spans="1:3">
      <c r="A765" s="425">
        <v>0</v>
      </c>
      <c r="B765" s="12">
        <v>765</v>
      </c>
      <c r="C765" s="12" t="str">
        <f t="shared" si="11"/>
        <v>Trads765</v>
      </c>
    </row>
    <row r="766" spans="1:3">
      <c r="A766" s="425">
        <v>0</v>
      </c>
      <c r="B766" s="12">
        <v>766</v>
      </c>
      <c r="C766" s="12" t="str">
        <f t="shared" si="11"/>
        <v>Trads766</v>
      </c>
    </row>
    <row r="767" spans="1:3">
      <c r="A767" s="425">
        <v>0</v>
      </c>
      <c r="B767" s="12">
        <v>767</v>
      </c>
      <c r="C767" s="12" t="str">
        <f t="shared" si="11"/>
        <v>Trads767</v>
      </c>
    </row>
    <row r="768" spans="1:3">
      <c r="A768" s="425">
        <v>0</v>
      </c>
      <c r="B768" s="12">
        <v>768</v>
      </c>
      <c r="C768" s="12" t="str">
        <f t="shared" si="11"/>
        <v>Trads768</v>
      </c>
    </row>
    <row r="769" spans="1:3">
      <c r="A769" s="425">
        <v>0</v>
      </c>
      <c r="B769" s="12">
        <v>769</v>
      </c>
      <c r="C769" s="12" t="str">
        <f t="shared" si="11"/>
        <v>Trads769</v>
      </c>
    </row>
    <row r="770" spans="1:3">
      <c r="A770" s="425">
        <v>0</v>
      </c>
      <c r="B770" s="12">
        <v>770</v>
      </c>
      <c r="C770" s="12" t="str">
        <f t="shared" si="11"/>
        <v>Trads770</v>
      </c>
    </row>
    <row r="771" spans="1:3">
      <c r="A771" s="425">
        <v>0</v>
      </c>
      <c r="B771" s="12">
        <v>771</v>
      </c>
      <c r="C771" s="12" t="str">
        <f t="shared" ref="C771:C834" si="12">+_xlfn.CONCAT("Trads",B771)</f>
        <v>Trads771</v>
      </c>
    </row>
    <row r="772" spans="1:3">
      <c r="A772" s="425">
        <v>0</v>
      </c>
      <c r="B772" s="12">
        <v>772</v>
      </c>
      <c r="C772" s="12" t="str">
        <f t="shared" si="12"/>
        <v>Trads772</v>
      </c>
    </row>
    <row r="773" spans="1:3">
      <c r="A773" s="425">
        <v>0</v>
      </c>
      <c r="B773" s="12">
        <v>773</v>
      </c>
      <c r="C773" s="12" t="str">
        <f t="shared" si="12"/>
        <v>Trads773</v>
      </c>
    </row>
    <row r="774" spans="1:3">
      <c r="A774" s="425">
        <v>0</v>
      </c>
      <c r="B774" s="12">
        <v>774</v>
      </c>
      <c r="C774" s="12" t="str">
        <f t="shared" si="12"/>
        <v>Trads774</v>
      </c>
    </row>
    <row r="775" spans="1:3">
      <c r="A775" s="425">
        <v>0</v>
      </c>
      <c r="B775" s="12">
        <v>775</v>
      </c>
      <c r="C775" s="12" t="str">
        <f t="shared" si="12"/>
        <v>Trads775</v>
      </c>
    </row>
    <row r="776" spans="1:3">
      <c r="A776" s="425">
        <v>0</v>
      </c>
      <c r="B776" s="12">
        <v>776</v>
      </c>
      <c r="C776" s="12" t="str">
        <f t="shared" si="12"/>
        <v>Trads776</v>
      </c>
    </row>
    <row r="777" spans="1:3">
      <c r="A777" s="425">
        <v>0</v>
      </c>
      <c r="B777" s="12">
        <v>777</v>
      </c>
      <c r="C777" s="12" t="str">
        <f t="shared" si="12"/>
        <v>Trads777</v>
      </c>
    </row>
    <row r="778" spans="1:3">
      <c r="A778" s="425">
        <v>0</v>
      </c>
      <c r="B778" s="12">
        <v>778</v>
      </c>
      <c r="C778" s="12" t="str">
        <f t="shared" si="12"/>
        <v>Trads778</v>
      </c>
    </row>
    <row r="779" spans="1:3">
      <c r="A779" s="425">
        <v>0</v>
      </c>
      <c r="B779" s="12">
        <v>779</v>
      </c>
      <c r="C779" s="12" t="str">
        <f t="shared" si="12"/>
        <v>Trads779</v>
      </c>
    </row>
    <row r="780" spans="1:3">
      <c r="A780" s="425">
        <v>0</v>
      </c>
      <c r="B780" s="12">
        <v>780</v>
      </c>
      <c r="C780" s="12" t="str">
        <f t="shared" si="12"/>
        <v>Trads780</v>
      </c>
    </row>
    <row r="781" spans="1:3">
      <c r="A781" s="425">
        <v>0</v>
      </c>
      <c r="B781" s="12">
        <v>781</v>
      </c>
      <c r="C781" s="12" t="str">
        <f t="shared" si="12"/>
        <v>Trads781</v>
      </c>
    </row>
    <row r="782" spans="1:3">
      <c r="A782" s="425">
        <v>0</v>
      </c>
      <c r="B782" s="12">
        <v>782</v>
      </c>
      <c r="C782" s="12" t="str">
        <f t="shared" si="12"/>
        <v>Trads782</v>
      </c>
    </row>
    <row r="783" spans="1:3">
      <c r="A783" s="425">
        <v>0</v>
      </c>
      <c r="B783" s="12">
        <v>783</v>
      </c>
      <c r="C783" s="12" t="str">
        <f t="shared" si="12"/>
        <v>Trads783</v>
      </c>
    </row>
    <row r="784" spans="1:3">
      <c r="A784" s="425">
        <v>0</v>
      </c>
      <c r="B784" s="12">
        <v>784</v>
      </c>
      <c r="C784" s="12" t="str">
        <f t="shared" si="12"/>
        <v>Trads784</v>
      </c>
    </row>
    <row r="785" spans="1:3">
      <c r="A785" s="425">
        <v>0</v>
      </c>
      <c r="B785" s="12">
        <v>785</v>
      </c>
      <c r="C785" s="12" t="str">
        <f t="shared" si="12"/>
        <v>Trads785</v>
      </c>
    </row>
    <row r="786" spans="1:3">
      <c r="A786" s="425">
        <v>0</v>
      </c>
      <c r="B786" s="12">
        <v>786</v>
      </c>
      <c r="C786" s="12" t="str">
        <f t="shared" si="12"/>
        <v>Trads786</v>
      </c>
    </row>
    <row r="787" spans="1:3">
      <c r="A787" s="425">
        <v>0</v>
      </c>
      <c r="B787" s="12">
        <v>787</v>
      </c>
      <c r="C787" s="12" t="str">
        <f t="shared" si="12"/>
        <v>Trads787</v>
      </c>
    </row>
    <row r="788" spans="1:3">
      <c r="A788" s="425">
        <v>0</v>
      </c>
      <c r="B788" s="12">
        <v>788</v>
      </c>
      <c r="C788" s="12" t="str">
        <f t="shared" si="12"/>
        <v>Trads788</v>
      </c>
    </row>
    <row r="789" spans="1:3">
      <c r="A789" s="425">
        <v>0</v>
      </c>
      <c r="B789" s="12">
        <v>789</v>
      </c>
      <c r="C789" s="12" t="str">
        <f t="shared" si="12"/>
        <v>Trads789</v>
      </c>
    </row>
    <row r="790" spans="1:3">
      <c r="A790" s="425">
        <v>0</v>
      </c>
      <c r="B790" s="12">
        <v>790</v>
      </c>
      <c r="C790" s="12" t="str">
        <f t="shared" si="12"/>
        <v>Trads790</v>
      </c>
    </row>
    <row r="791" spans="1:3">
      <c r="A791" s="425">
        <v>0</v>
      </c>
      <c r="B791" s="12">
        <v>791</v>
      </c>
      <c r="C791" s="12" t="str">
        <f t="shared" si="12"/>
        <v>Trads791</v>
      </c>
    </row>
    <row r="792" spans="1:3">
      <c r="A792" s="425">
        <v>0</v>
      </c>
      <c r="B792" s="12">
        <v>792</v>
      </c>
      <c r="C792" s="12" t="str">
        <f t="shared" si="12"/>
        <v>Trads792</v>
      </c>
    </row>
    <row r="793" spans="1:3">
      <c r="A793" s="425">
        <v>0</v>
      </c>
      <c r="B793" s="12">
        <v>793</v>
      </c>
      <c r="C793" s="12" t="str">
        <f t="shared" si="12"/>
        <v>Trads793</v>
      </c>
    </row>
    <row r="794" spans="1:3">
      <c r="A794" s="425">
        <v>0</v>
      </c>
      <c r="B794" s="12">
        <v>794</v>
      </c>
      <c r="C794" s="12" t="str">
        <f t="shared" si="12"/>
        <v>Trads794</v>
      </c>
    </row>
    <row r="795" spans="1:3">
      <c r="A795" s="425">
        <v>0</v>
      </c>
      <c r="B795" s="12">
        <v>795</v>
      </c>
      <c r="C795" s="12" t="str">
        <f t="shared" si="12"/>
        <v>Trads795</v>
      </c>
    </row>
    <row r="796" spans="1:3">
      <c r="A796" s="425">
        <v>0</v>
      </c>
      <c r="B796" s="12">
        <v>796</v>
      </c>
      <c r="C796" s="12" t="str">
        <f t="shared" si="12"/>
        <v>Trads796</v>
      </c>
    </row>
    <row r="797" spans="1:3">
      <c r="A797" s="425">
        <v>0</v>
      </c>
      <c r="B797" s="12">
        <v>797</v>
      </c>
      <c r="C797" s="12" t="str">
        <f t="shared" si="12"/>
        <v>Trads797</v>
      </c>
    </row>
    <row r="798" spans="1:3">
      <c r="A798" s="425">
        <v>0</v>
      </c>
      <c r="B798" s="12">
        <v>798</v>
      </c>
      <c r="C798" s="12" t="str">
        <f t="shared" si="12"/>
        <v>Trads798</v>
      </c>
    </row>
    <row r="799" spans="1:3">
      <c r="A799" s="425">
        <v>0</v>
      </c>
      <c r="B799" s="12">
        <v>799</v>
      </c>
      <c r="C799" s="12" t="str">
        <f t="shared" si="12"/>
        <v>Trads799</v>
      </c>
    </row>
    <row r="800" spans="1:3">
      <c r="A800" s="425">
        <v>0</v>
      </c>
      <c r="B800" s="12">
        <v>800</v>
      </c>
      <c r="C800" s="12" t="str">
        <f t="shared" si="12"/>
        <v>Trads800</v>
      </c>
    </row>
    <row r="801" spans="1:3">
      <c r="A801" s="425">
        <v>0</v>
      </c>
      <c r="B801" s="12">
        <v>801</v>
      </c>
      <c r="C801" s="12" t="str">
        <f t="shared" si="12"/>
        <v>Trads801</v>
      </c>
    </row>
    <row r="802" spans="1:3">
      <c r="A802" s="425">
        <v>0</v>
      </c>
      <c r="B802" s="12">
        <v>802</v>
      </c>
      <c r="C802" s="12" t="str">
        <f t="shared" si="12"/>
        <v>Trads802</v>
      </c>
    </row>
    <row r="803" spans="1:3">
      <c r="A803" s="425">
        <v>0</v>
      </c>
      <c r="B803" s="12">
        <v>803</v>
      </c>
      <c r="C803" s="12" t="str">
        <f t="shared" si="12"/>
        <v>Trads803</v>
      </c>
    </row>
    <row r="804" spans="1:3">
      <c r="A804" s="425">
        <v>0</v>
      </c>
      <c r="B804" s="12">
        <v>804</v>
      </c>
      <c r="C804" s="12" t="str">
        <f t="shared" si="12"/>
        <v>Trads804</v>
      </c>
    </row>
    <row r="805" spans="1:3">
      <c r="A805" s="425">
        <v>0</v>
      </c>
      <c r="B805" s="12">
        <v>805</v>
      </c>
      <c r="C805" s="12" t="str">
        <f t="shared" si="12"/>
        <v>Trads805</v>
      </c>
    </row>
    <row r="806" spans="1:3">
      <c r="A806" s="425">
        <v>0</v>
      </c>
      <c r="B806" s="12">
        <v>806</v>
      </c>
      <c r="C806" s="12" t="str">
        <f t="shared" si="12"/>
        <v>Trads806</v>
      </c>
    </row>
    <row r="807" spans="1:3">
      <c r="A807" s="425">
        <v>0</v>
      </c>
      <c r="B807" s="12">
        <v>807</v>
      </c>
      <c r="C807" s="12" t="str">
        <f t="shared" si="12"/>
        <v>Trads807</v>
      </c>
    </row>
    <row r="808" spans="1:3">
      <c r="A808" s="425">
        <v>0</v>
      </c>
      <c r="B808" s="12">
        <v>808</v>
      </c>
      <c r="C808" s="12" t="str">
        <f t="shared" si="12"/>
        <v>Trads808</v>
      </c>
    </row>
    <row r="809" spans="1:3">
      <c r="A809" s="425">
        <v>0</v>
      </c>
      <c r="B809" s="12">
        <v>809</v>
      </c>
      <c r="C809" s="12" t="str">
        <f t="shared" si="12"/>
        <v>Trads809</v>
      </c>
    </row>
    <row r="810" spans="1:3">
      <c r="A810" s="425">
        <v>0</v>
      </c>
      <c r="B810" s="12">
        <v>810</v>
      </c>
      <c r="C810" s="12" t="str">
        <f t="shared" si="12"/>
        <v>Trads810</v>
      </c>
    </row>
    <row r="811" spans="1:3">
      <c r="A811" s="425">
        <v>0</v>
      </c>
      <c r="B811" s="12">
        <v>811</v>
      </c>
      <c r="C811" s="12" t="str">
        <f t="shared" si="12"/>
        <v>Trads811</v>
      </c>
    </row>
    <row r="812" spans="1:3">
      <c r="A812" s="425">
        <v>0</v>
      </c>
      <c r="B812" s="12">
        <v>812</v>
      </c>
      <c r="C812" s="12" t="str">
        <f t="shared" si="12"/>
        <v>Trads812</v>
      </c>
    </row>
    <row r="813" spans="1:3">
      <c r="A813" s="425">
        <v>0</v>
      </c>
      <c r="B813" s="12">
        <v>813</v>
      </c>
      <c r="C813" s="12" t="str">
        <f t="shared" si="12"/>
        <v>Trads813</v>
      </c>
    </row>
    <row r="814" spans="1:3">
      <c r="A814" s="425">
        <v>0</v>
      </c>
      <c r="B814" s="12">
        <v>814</v>
      </c>
      <c r="C814" s="12" t="str">
        <f t="shared" si="12"/>
        <v>Trads814</v>
      </c>
    </row>
    <row r="815" spans="1:3">
      <c r="A815" s="425">
        <v>0</v>
      </c>
      <c r="B815" s="12">
        <v>815</v>
      </c>
      <c r="C815" s="12" t="str">
        <f t="shared" si="12"/>
        <v>Trads815</v>
      </c>
    </row>
    <row r="816" spans="1:3">
      <c r="A816" s="425">
        <v>0</v>
      </c>
      <c r="B816" s="12">
        <v>816</v>
      </c>
      <c r="C816" s="12" t="str">
        <f t="shared" si="12"/>
        <v>Trads816</v>
      </c>
    </row>
    <row r="817" spans="1:3">
      <c r="A817" s="425">
        <v>0</v>
      </c>
      <c r="B817" s="12">
        <v>817</v>
      </c>
      <c r="C817" s="12" t="str">
        <f t="shared" si="12"/>
        <v>Trads817</v>
      </c>
    </row>
    <row r="818" spans="1:3">
      <c r="A818" s="425">
        <v>0</v>
      </c>
      <c r="B818" s="12">
        <v>818</v>
      </c>
      <c r="C818" s="12" t="str">
        <f t="shared" si="12"/>
        <v>Trads818</v>
      </c>
    </row>
    <row r="819" spans="1:3">
      <c r="A819" s="425">
        <v>0</v>
      </c>
      <c r="B819" s="12">
        <v>819</v>
      </c>
      <c r="C819" s="12" t="str">
        <f t="shared" si="12"/>
        <v>Trads819</v>
      </c>
    </row>
    <row r="820" spans="1:3">
      <c r="A820" s="425">
        <v>0</v>
      </c>
      <c r="B820" s="12">
        <v>820</v>
      </c>
      <c r="C820" s="12" t="str">
        <f t="shared" si="12"/>
        <v>Trads820</v>
      </c>
    </row>
    <row r="821" spans="1:3">
      <c r="A821" s="425">
        <v>0</v>
      </c>
      <c r="B821" s="12">
        <v>821</v>
      </c>
      <c r="C821" s="12" t="str">
        <f t="shared" si="12"/>
        <v>Trads821</v>
      </c>
    </row>
    <row r="822" spans="1:3">
      <c r="A822" s="425">
        <v>0</v>
      </c>
      <c r="B822" s="12">
        <v>822</v>
      </c>
      <c r="C822" s="12" t="str">
        <f t="shared" si="12"/>
        <v>Trads822</v>
      </c>
    </row>
    <row r="823" spans="1:3">
      <c r="A823" s="425">
        <v>0</v>
      </c>
      <c r="B823" s="12">
        <v>823</v>
      </c>
      <c r="C823" s="12" t="str">
        <f t="shared" si="12"/>
        <v>Trads823</v>
      </c>
    </row>
    <row r="824" spans="1:3">
      <c r="A824" s="425">
        <v>0</v>
      </c>
      <c r="B824" s="12">
        <v>824</v>
      </c>
      <c r="C824" s="12" t="str">
        <f t="shared" si="12"/>
        <v>Trads824</v>
      </c>
    </row>
    <row r="825" spans="1:3">
      <c r="A825" s="425">
        <v>0</v>
      </c>
      <c r="B825" s="12">
        <v>825</v>
      </c>
      <c r="C825" s="12" t="str">
        <f t="shared" si="12"/>
        <v>Trads825</v>
      </c>
    </row>
    <row r="826" spans="1:3">
      <c r="A826" s="425">
        <v>0</v>
      </c>
      <c r="B826" s="12">
        <v>826</v>
      </c>
      <c r="C826" s="12" t="str">
        <f t="shared" si="12"/>
        <v>Trads826</v>
      </c>
    </row>
    <row r="827" spans="1:3">
      <c r="A827" s="425">
        <v>0</v>
      </c>
      <c r="B827" s="12">
        <v>827</v>
      </c>
      <c r="C827" s="12" t="str">
        <f t="shared" si="12"/>
        <v>Trads827</v>
      </c>
    </row>
    <row r="828" spans="1:3">
      <c r="A828" s="425">
        <v>0</v>
      </c>
      <c r="B828" s="12">
        <v>828</v>
      </c>
      <c r="C828" s="12" t="str">
        <f t="shared" si="12"/>
        <v>Trads828</v>
      </c>
    </row>
    <row r="829" spans="1:3">
      <c r="A829" s="425">
        <v>0</v>
      </c>
      <c r="B829" s="12">
        <v>829</v>
      </c>
      <c r="C829" s="12" t="str">
        <f t="shared" si="12"/>
        <v>Trads829</v>
      </c>
    </row>
    <row r="830" spans="1:3">
      <c r="A830" s="425">
        <v>0</v>
      </c>
      <c r="B830" s="12">
        <v>830</v>
      </c>
      <c r="C830" s="12" t="str">
        <f t="shared" si="12"/>
        <v>Trads830</v>
      </c>
    </row>
    <row r="831" spans="1:3">
      <c r="A831" s="425">
        <v>0</v>
      </c>
      <c r="B831" s="12">
        <v>831</v>
      </c>
      <c r="C831" s="12" t="str">
        <f t="shared" si="12"/>
        <v>Trads831</v>
      </c>
    </row>
    <row r="832" spans="1:3">
      <c r="A832" s="425">
        <v>0</v>
      </c>
      <c r="B832" s="12">
        <v>832</v>
      </c>
      <c r="C832" s="12" t="str">
        <f t="shared" si="12"/>
        <v>Trads832</v>
      </c>
    </row>
    <row r="833" spans="1:3">
      <c r="A833" s="425">
        <v>0</v>
      </c>
      <c r="B833" s="12">
        <v>833</v>
      </c>
      <c r="C833" s="12" t="str">
        <f t="shared" si="12"/>
        <v>Trads833</v>
      </c>
    </row>
    <row r="834" spans="1:3">
      <c r="A834" s="425">
        <v>0</v>
      </c>
      <c r="B834" s="12">
        <v>834</v>
      </c>
      <c r="C834" s="12" t="str">
        <f t="shared" si="12"/>
        <v>Trads834</v>
      </c>
    </row>
    <row r="835" spans="1:3">
      <c r="A835" s="425">
        <v>0</v>
      </c>
      <c r="B835" s="12">
        <v>835</v>
      </c>
      <c r="C835" s="12" t="str">
        <f t="shared" ref="C835:C898" si="13">+_xlfn.CONCAT("Trads",B835)</f>
        <v>Trads835</v>
      </c>
    </row>
    <row r="836" spans="1:3">
      <c r="A836" s="425">
        <v>0</v>
      </c>
      <c r="B836" s="12">
        <v>836</v>
      </c>
      <c r="C836" s="12" t="str">
        <f t="shared" si="13"/>
        <v>Trads836</v>
      </c>
    </row>
    <row r="837" spans="1:3">
      <c r="A837" s="425">
        <v>0</v>
      </c>
      <c r="B837" s="12">
        <v>837</v>
      </c>
      <c r="C837" s="12" t="str">
        <f t="shared" si="13"/>
        <v>Trads837</v>
      </c>
    </row>
    <row r="838" spans="1:3">
      <c r="A838" s="425">
        <v>0</v>
      </c>
      <c r="B838" s="12">
        <v>838</v>
      </c>
      <c r="C838" s="12" t="str">
        <f t="shared" si="13"/>
        <v>Trads838</v>
      </c>
    </row>
    <row r="839" spans="1:3">
      <c r="A839" s="425">
        <v>0</v>
      </c>
      <c r="B839" s="12">
        <v>839</v>
      </c>
      <c r="C839" s="12" t="str">
        <f t="shared" si="13"/>
        <v>Trads839</v>
      </c>
    </row>
    <row r="840" spans="1:3">
      <c r="A840" s="425">
        <v>0</v>
      </c>
      <c r="B840" s="12">
        <v>840</v>
      </c>
      <c r="C840" s="12" t="str">
        <f t="shared" si="13"/>
        <v>Trads840</v>
      </c>
    </row>
    <row r="841" spans="1:3">
      <c r="A841" s="425">
        <v>0</v>
      </c>
      <c r="B841" s="12">
        <v>841</v>
      </c>
      <c r="C841" s="12" t="str">
        <f t="shared" si="13"/>
        <v>Trads841</v>
      </c>
    </row>
    <row r="842" spans="1:3">
      <c r="A842" s="425">
        <v>0</v>
      </c>
      <c r="B842" s="12">
        <v>842</v>
      </c>
      <c r="C842" s="12" t="str">
        <f t="shared" si="13"/>
        <v>Trads842</v>
      </c>
    </row>
    <row r="843" spans="1:3">
      <c r="A843" s="425">
        <v>0</v>
      </c>
      <c r="B843" s="12">
        <v>843</v>
      </c>
      <c r="C843" s="12" t="str">
        <f t="shared" si="13"/>
        <v>Trads843</v>
      </c>
    </row>
    <row r="844" spans="1:3">
      <c r="A844" s="425">
        <v>0</v>
      </c>
      <c r="B844" s="12">
        <v>844</v>
      </c>
      <c r="C844" s="12" t="str">
        <f t="shared" si="13"/>
        <v>Trads844</v>
      </c>
    </row>
    <row r="845" spans="1:3">
      <c r="A845" s="425">
        <v>0</v>
      </c>
      <c r="B845" s="12">
        <v>845</v>
      </c>
      <c r="C845" s="12" t="str">
        <f t="shared" si="13"/>
        <v>Trads845</v>
      </c>
    </row>
    <row r="846" spans="1:3">
      <c r="A846" s="425">
        <v>0</v>
      </c>
      <c r="B846" s="12">
        <v>846</v>
      </c>
      <c r="C846" s="12" t="str">
        <f t="shared" si="13"/>
        <v>Trads846</v>
      </c>
    </row>
    <row r="847" spans="1:3">
      <c r="A847" s="425">
        <v>0</v>
      </c>
      <c r="B847" s="12">
        <v>847</v>
      </c>
      <c r="C847" s="12" t="str">
        <f t="shared" si="13"/>
        <v>Trads847</v>
      </c>
    </row>
    <row r="848" spans="1:3">
      <c r="A848" s="425">
        <v>0</v>
      </c>
      <c r="B848" s="12">
        <v>848</v>
      </c>
      <c r="C848" s="12" t="str">
        <f t="shared" si="13"/>
        <v>Trads848</v>
      </c>
    </row>
    <row r="849" spans="1:3">
      <c r="A849" s="425">
        <v>0</v>
      </c>
      <c r="B849" s="12">
        <v>849</v>
      </c>
      <c r="C849" s="12" t="str">
        <f t="shared" si="13"/>
        <v>Trads849</v>
      </c>
    </row>
    <row r="850" spans="1:3">
      <c r="A850" s="425">
        <v>0</v>
      </c>
      <c r="B850" s="12">
        <v>850</v>
      </c>
      <c r="C850" s="12" t="str">
        <f t="shared" si="13"/>
        <v>Trads850</v>
      </c>
    </row>
    <row r="851" spans="1:3">
      <c r="A851" s="425">
        <v>0</v>
      </c>
      <c r="B851" s="12">
        <v>851</v>
      </c>
      <c r="C851" s="12" t="str">
        <f t="shared" si="13"/>
        <v>Trads851</v>
      </c>
    </row>
    <row r="852" spans="1:3">
      <c r="A852" s="425">
        <v>0</v>
      </c>
      <c r="B852" s="12">
        <v>852</v>
      </c>
      <c r="C852" s="12" t="str">
        <f t="shared" si="13"/>
        <v>Trads852</v>
      </c>
    </row>
    <row r="853" spans="1:3">
      <c r="A853" s="425">
        <v>0</v>
      </c>
      <c r="B853" s="12">
        <v>853</v>
      </c>
      <c r="C853" s="12" t="str">
        <f t="shared" si="13"/>
        <v>Trads853</v>
      </c>
    </row>
    <row r="854" spans="1:3">
      <c r="A854" s="425">
        <v>0</v>
      </c>
      <c r="B854" s="12">
        <v>854</v>
      </c>
      <c r="C854" s="12" t="str">
        <f t="shared" si="13"/>
        <v>Trads854</v>
      </c>
    </row>
    <row r="855" spans="1:3">
      <c r="A855" s="425">
        <v>0</v>
      </c>
      <c r="B855" s="12">
        <v>855</v>
      </c>
      <c r="C855" s="12" t="str">
        <f t="shared" si="13"/>
        <v>Trads855</v>
      </c>
    </row>
    <row r="856" spans="1:3">
      <c r="A856" s="425">
        <v>0</v>
      </c>
      <c r="B856" s="12">
        <v>856</v>
      </c>
      <c r="C856" s="12" t="str">
        <f t="shared" si="13"/>
        <v>Trads856</v>
      </c>
    </row>
    <row r="857" spans="1:3">
      <c r="A857" s="425">
        <v>0</v>
      </c>
      <c r="B857" s="12">
        <v>857</v>
      </c>
      <c r="C857" s="12" t="str">
        <f t="shared" si="13"/>
        <v>Trads857</v>
      </c>
    </row>
    <row r="858" spans="1:3">
      <c r="A858" s="425">
        <v>0</v>
      </c>
      <c r="B858" s="12">
        <v>858</v>
      </c>
      <c r="C858" s="12" t="str">
        <f t="shared" si="13"/>
        <v>Trads858</v>
      </c>
    </row>
    <row r="859" spans="1:3">
      <c r="A859" s="425">
        <v>0</v>
      </c>
      <c r="B859" s="12">
        <v>859</v>
      </c>
      <c r="C859" s="12" t="str">
        <f t="shared" si="13"/>
        <v>Trads859</v>
      </c>
    </row>
    <row r="860" spans="1:3">
      <c r="A860" s="425">
        <v>0</v>
      </c>
      <c r="B860" s="12">
        <v>860</v>
      </c>
      <c r="C860" s="12" t="str">
        <f t="shared" si="13"/>
        <v>Trads860</v>
      </c>
    </row>
    <row r="861" spans="1:3">
      <c r="A861" s="425">
        <v>0</v>
      </c>
      <c r="B861" s="12">
        <v>861</v>
      </c>
      <c r="C861" s="12" t="str">
        <f t="shared" si="13"/>
        <v>Trads861</v>
      </c>
    </row>
    <row r="862" spans="1:3">
      <c r="A862" s="425">
        <v>0</v>
      </c>
      <c r="B862" s="12">
        <v>862</v>
      </c>
      <c r="C862" s="12" t="str">
        <f t="shared" si="13"/>
        <v>Trads862</v>
      </c>
    </row>
    <row r="863" spans="1:3">
      <c r="A863" s="425">
        <v>0</v>
      </c>
      <c r="B863" s="12">
        <v>863</v>
      </c>
      <c r="C863" s="12" t="str">
        <f t="shared" si="13"/>
        <v>Trads863</v>
      </c>
    </row>
    <row r="864" spans="1:3">
      <c r="A864" s="425">
        <v>0</v>
      </c>
      <c r="B864" s="12">
        <v>864</v>
      </c>
      <c r="C864" s="12" t="str">
        <f t="shared" si="13"/>
        <v>Trads864</v>
      </c>
    </row>
    <row r="865" spans="1:3">
      <c r="A865" s="425">
        <v>0</v>
      </c>
      <c r="B865" s="12">
        <v>865</v>
      </c>
      <c r="C865" s="12" t="str">
        <f t="shared" si="13"/>
        <v>Trads865</v>
      </c>
    </row>
    <row r="866" spans="1:3">
      <c r="A866" s="425">
        <v>0</v>
      </c>
      <c r="B866" s="12">
        <v>866</v>
      </c>
      <c r="C866" s="12" t="str">
        <f t="shared" si="13"/>
        <v>Trads866</v>
      </c>
    </row>
    <row r="867" spans="1:3">
      <c r="A867" s="425">
        <v>0</v>
      </c>
      <c r="B867" s="12">
        <v>867</v>
      </c>
      <c r="C867" s="12" t="str">
        <f t="shared" si="13"/>
        <v>Trads867</v>
      </c>
    </row>
    <row r="868" spans="1:3">
      <c r="A868" s="425">
        <v>0</v>
      </c>
      <c r="B868" s="12">
        <v>868</v>
      </c>
      <c r="C868" s="12" t="str">
        <f t="shared" si="13"/>
        <v>Trads868</v>
      </c>
    </row>
    <row r="869" spans="1:3">
      <c r="A869" s="425">
        <v>0</v>
      </c>
      <c r="B869" s="12">
        <v>869</v>
      </c>
      <c r="C869" s="12" t="str">
        <f t="shared" si="13"/>
        <v>Trads869</v>
      </c>
    </row>
    <row r="870" spans="1:3">
      <c r="A870" s="425">
        <v>0</v>
      </c>
      <c r="B870" s="12">
        <v>870</v>
      </c>
      <c r="C870" s="12" t="str">
        <f t="shared" si="13"/>
        <v>Trads870</v>
      </c>
    </row>
    <row r="871" spans="1:3">
      <c r="A871" s="425">
        <v>0</v>
      </c>
      <c r="B871" s="12">
        <v>871</v>
      </c>
      <c r="C871" s="12" t="str">
        <f t="shared" si="13"/>
        <v>Trads871</v>
      </c>
    </row>
    <row r="872" spans="1:3">
      <c r="A872" s="425">
        <v>0</v>
      </c>
      <c r="B872" s="12">
        <v>872</v>
      </c>
      <c r="C872" s="12" t="str">
        <f t="shared" si="13"/>
        <v>Trads872</v>
      </c>
    </row>
    <row r="873" spans="1:3">
      <c r="A873" s="425">
        <v>0</v>
      </c>
      <c r="B873" s="12">
        <v>873</v>
      </c>
      <c r="C873" s="12" t="str">
        <f t="shared" si="13"/>
        <v>Trads873</v>
      </c>
    </row>
    <row r="874" spans="1:3">
      <c r="A874" s="425">
        <v>0</v>
      </c>
      <c r="B874" s="12">
        <v>874</v>
      </c>
      <c r="C874" s="12" t="str">
        <f t="shared" si="13"/>
        <v>Trads874</v>
      </c>
    </row>
    <row r="875" spans="1:3">
      <c r="A875" s="425">
        <v>0</v>
      </c>
      <c r="B875" s="12">
        <v>875</v>
      </c>
      <c r="C875" s="12" t="str">
        <f t="shared" si="13"/>
        <v>Trads875</v>
      </c>
    </row>
    <row r="876" spans="1:3">
      <c r="A876" s="425">
        <v>0</v>
      </c>
      <c r="B876" s="12">
        <v>876</v>
      </c>
      <c r="C876" s="12" t="str">
        <f t="shared" si="13"/>
        <v>Trads876</v>
      </c>
    </row>
    <row r="877" spans="1:3">
      <c r="A877" s="425">
        <v>0</v>
      </c>
      <c r="B877" s="12">
        <v>877</v>
      </c>
      <c r="C877" s="12" t="str">
        <f t="shared" si="13"/>
        <v>Trads877</v>
      </c>
    </row>
    <row r="878" spans="1:3">
      <c r="A878" s="425">
        <v>0</v>
      </c>
      <c r="B878" s="12">
        <v>878</v>
      </c>
      <c r="C878" s="12" t="str">
        <f t="shared" si="13"/>
        <v>Trads878</v>
      </c>
    </row>
    <row r="879" spans="1:3">
      <c r="A879" s="425">
        <v>0</v>
      </c>
      <c r="B879" s="12">
        <v>879</v>
      </c>
      <c r="C879" s="12" t="str">
        <f t="shared" si="13"/>
        <v>Trads879</v>
      </c>
    </row>
    <row r="880" spans="1:3">
      <c r="A880" s="425">
        <v>0</v>
      </c>
      <c r="B880" s="12">
        <v>880</v>
      </c>
      <c r="C880" s="12" t="str">
        <f t="shared" si="13"/>
        <v>Trads880</v>
      </c>
    </row>
    <row r="881" spans="1:3">
      <c r="A881" s="425">
        <v>0</v>
      </c>
      <c r="B881" s="12">
        <v>881</v>
      </c>
      <c r="C881" s="12" t="str">
        <f t="shared" si="13"/>
        <v>Trads881</v>
      </c>
    </row>
    <row r="882" spans="1:3">
      <c r="A882" s="425">
        <v>0</v>
      </c>
      <c r="B882" s="12">
        <v>882</v>
      </c>
      <c r="C882" s="12" t="str">
        <f t="shared" si="13"/>
        <v>Trads882</v>
      </c>
    </row>
    <row r="883" spans="1:3">
      <c r="A883" s="425">
        <v>0</v>
      </c>
      <c r="B883" s="12">
        <v>883</v>
      </c>
      <c r="C883" s="12" t="str">
        <f t="shared" si="13"/>
        <v>Trads883</v>
      </c>
    </row>
    <row r="884" spans="1:3">
      <c r="A884" s="425">
        <v>0</v>
      </c>
      <c r="B884" s="12">
        <v>884</v>
      </c>
      <c r="C884" s="12" t="str">
        <f t="shared" si="13"/>
        <v>Trads884</v>
      </c>
    </row>
    <row r="885" spans="1:3">
      <c r="A885" s="425">
        <v>0</v>
      </c>
      <c r="B885" s="12">
        <v>885</v>
      </c>
      <c r="C885" s="12" t="str">
        <f t="shared" si="13"/>
        <v>Trads885</v>
      </c>
    </row>
    <row r="886" spans="1:3">
      <c r="A886" s="425">
        <v>0</v>
      </c>
      <c r="B886" s="12">
        <v>886</v>
      </c>
      <c r="C886" s="12" t="str">
        <f t="shared" si="13"/>
        <v>Trads886</v>
      </c>
    </row>
    <row r="887" spans="1:3">
      <c r="A887" s="425">
        <v>0</v>
      </c>
      <c r="B887" s="12">
        <v>887</v>
      </c>
      <c r="C887" s="12" t="str">
        <f t="shared" si="13"/>
        <v>Trads887</v>
      </c>
    </row>
    <row r="888" spans="1:3">
      <c r="A888" s="425">
        <v>0</v>
      </c>
      <c r="B888" s="12">
        <v>888</v>
      </c>
      <c r="C888" s="12" t="str">
        <f t="shared" si="13"/>
        <v>Trads888</v>
      </c>
    </row>
    <row r="889" spans="1:3">
      <c r="A889" s="425">
        <v>0</v>
      </c>
      <c r="B889" s="12">
        <v>889</v>
      </c>
      <c r="C889" s="12" t="str">
        <f t="shared" si="13"/>
        <v>Trads889</v>
      </c>
    </row>
    <row r="890" spans="1:3">
      <c r="A890" s="425">
        <v>0</v>
      </c>
      <c r="B890" s="12">
        <v>890</v>
      </c>
      <c r="C890" s="12" t="str">
        <f t="shared" si="13"/>
        <v>Trads890</v>
      </c>
    </row>
    <row r="891" spans="1:3">
      <c r="A891" s="425">
        <v>0</v>
      </c>
      <c r="B891" s="12">
        <v>891</v>
      </c>
      <c r="C891" s="12" t="str">
        <f t="shared" si="13"/>
        <v>Trads891</v>
      </c>
    </row>
    <row r="892" spans="1:3">
      <c r="A892" s="425">
        <v>0</v>
      </c>
      <c r="B892" s="12">
        <v>892</v>
      </c>
      <c r="C892" s="12" t="str">
        <f t="shared" si="13"/>
        <v>Trads892</v>
      </c>
    </row>
    <row r="893" spans="1:3">
      <c r="A893" s="425">
        <v>0</v>
      </c>
      <c r="B893" s="12">
        <v>893</v>
      </c>
      <c r="C893" s="12" t="str">
        <f t="shared" si="13"/>
        <v>Trads893</v>
      </c>
    </row>
    <row r="894" spans="1:3">
      <c r="A894" s="425">
        <v>0</v>
      </c>
      <c r="B894" s="12">
        <v>894</v>
      </c>
      <c r="C894" s="12" t="str">
        <f t="shared" si="13"/>
        <v>Trads894</v>
      </c>
    </row>
    <row r="895" spans="1:3">
      <c r="A895" s="425">
        <v>0</v>
      </c>
      <c r="B895" s="12">
        <v>895</v>
      </c>
      <c r="C895" s="12" t="str">
        <f t="shared" si="13"/>
        <v>Trads895</v>
      </c>
    </row>
    <row r="896" spans="1:3">
      <c r="A896" s="425">
        <v>0</v>
      </c>
      <c r="B896" s="12">
        <v>896</v>
      </c>
      <c r="C896" s="12" t="str">
        <f t="shared" si="13"/>
        <v>Trads896</v>
      </c>
    </row>
    <row r="897" spans="1:3">
      <c r="A897" s="425">
        <v>0</v>
      </c>
      <c r="B897" s="12">
        <v>897</v>
      </c>
      <c r="C897" s="12" t="str">
        <f t="shared" si="13"/>
        <v>Trads897</v>
      </c>
    </row>
    <row r="898" spans="1:3">
      <c r="A898" s="425">
        <v>0</v>
      </c>
      <c r="B898" s="12">
        <v>898</v>
      </c>
      <c r="C898" s="12" t="str">
        <f t="shared" si="13"/>
        <v>Trads898</v>
      </c>
    </row>
    <row r="899" spans="1:3">
      <c r="A899" s="425">
        <v>0</v>
      </c>
      <c r="B899" s="12">
        <v>899</v>
      </c>
      <c r="C899" s="12" t="str">
        <f t="shared" ref="C899:C962" si="14">+_xlfn.CONCAT("Trads",B899)</f>
        <v>Trads899</v>
      </c>
    </row>
    <row r="900" spans="1:3">
      <c r="A900" s="425">
        <v>0</v>
      </c>
      <c r="B900" s="12">
        <v>900</v>
      </c>
      <c r="C900" s="12" t="str">
        <f t="shared" si="14"/>
        <v>Trads900</v>
      </c>
    </row>
    <row r="901" spans="1:3">
      <c r="A901" s="425">
        <v>0</v>
      </c>
      <c r="B901" s="12">
        <v>901</v>
      </c>
      <c r="C901" s="12" t="str">
        <f t="shared" si="14"/>
        <v>Trads901</v>
      </c>
    </row>
    <row r="902" spans="1:3">
      <c r="A902" s="425">
        <v>0</v>
      </c>
      <c r="B902" s="12">
        <v>902</v>
      </c>
      <c r="C902" s="12" t="str">
        <f t="shared" si="14"/>
        <v>Trads902</v>
      </c>
    </row>
    <row r="903" spans="1:3">
      <c r="A903" s="425">
        <v>0</v>
      </c>
      <c r="B903" s="12">
        <v>903</v>
      </c>
      <c r="C903" s="12" t="str">
        <f t="shared" si="14"/>
        <v>Trads903</v>
      </c>
    </row>
    <row r="904" spans="1:3">
      <c r="A904" s="425">
        <v>0</v>
      </c>
      <c r="B904" s="12">
        <v>904</v>
      </c>
      <c r="C904" s="12" t="str">
        <f t="shared" si="14"/>
        <v>Trads904</v>
      </c>
    </row>
    <row r="905" spans="1:3">
      <c r="A905" s="425">
        <v>0</v>
      </c>
      <c r="B905" s="12">
        <v>905</v>
      </c>
      <c r="C905" s="12" t="str">
        <f t="shared" si="14"/>
        <v>Trads905</v>
      </c>
    </row>
    <row r="906" spans="1:3">
      <c r="A906" s="425">
        <v>0</v>
      </c>
      <c r="B906" s="12">
        <v>906</v>
      </c>
      <c r="C906" s="12" t="str">
        <f t="shared" si="14"/>
        <v>Trads906</v>
      </c>
    </row>
    <row r="907" spans="1:3">
      <c r="A907" s="425">
        <v>0</v>
      </c>
      <c r="B907" s="12">
        <v>907</v>
      </c>
      <c r="C907" s="12" t="str">
        <f t="shared" si="14"/>
        <v>Trads907</v>
      </c>
    </row>
    <row r="908" spans="1:3">
      <c r="A908" s="425">
        <v>0</v>
      </c>
      <c r="B908" s="12">
        <v>908</v>
      </c>
      <c r="C908" s="12" t="str">
        <f t="shared" si="14"/>
        <v>Trads908</v>
      </c>
    </row>
    <row r="909" spans="1:3">
      <c r="A909" s="425">
        <v>0</v>
      </c>
      <c r="B909" s="12">
        <v>909</v>
      </c>
      <c r="C909" s="12" t="str">
        <f t="shared" si="14"/>
        <v>Trads909</v>
      </c>
    </row>
    <row r="910" spans="1:3">
      <c r="A910" s="425">
        <v>0</v>
      </c>
      <c r="B910" s="12">
        <v>910</v>
      </c>
      <c r="C910" s="12" t="str">
        <f t="shared" si="14"/>
        <v>Trads910</v>
      </c>
    </row>
    <row r="911" spans="1:3">
      <c r="A911" s="425">
        <v>0</v>
      </c>
      <c r="B911" s="12">
        <v>911</v>
      </c>
      <c r="C911" s="12" t="str">
        <f t="shared" si="14"/>
        <v>Trads911</v>
      </c>
    </row>
    <row r="912" spans="1:3">
      <c r="A912" s="425">
        <v>0</v>
      </c>
      <c r="B912" s="12">
        <v>912</v>
      </c>
      <c r="C912" s="12" t="str">
        <f t="shared" si="14"/>
        <v>Trads912</v>
      </c>
    </row>
    <row r="913" spans="1:3">
      <c r="A913" s="425">
        <v>0</v>
      </c>
      <c r="B913" s="12">
        <v>913</v>
      </c>
      <c r="C913" s="12" t="str">
        <f t="shared" si="14"/>
        <v>Trads913</v>
      </c>
    </row>
    <row r="914" spans="1:3">
      <c r="A914" s="425">
        <v>0</v>
      </c>
      <c r="B914" s="12">
        <v>914</v>
      </c>
      <c r="C914" s="12" t="str">
        <f t="shared" si="14"/>
        <v>Trads914</v>
      </c>
    </row>
    <row r="915" spans="1:3">
      <c r="A915" s="425">
        <v>0</v>
      </c>
      <c r="B915" s="12">
        <v>915</v>
      </c>
      <c r="C915" s="12" t="str">
        <f t="shared" si="14"/>
        <v>Trads915</v>
      </c>
    </row>
    <row r="916" spans="1:3">
      <c r="A916" s="425">
        <v>0</v>
      </c>
      <c r="B916" s="12">
        <v>916</v>
      </c>
      <c r="C916" s="12" t="str">
        <f t="shared" si="14"/>
        <v>Trads916</v>
      </c>
    </row>
    <row r="917" spans="1:3">
      <c r="A917" s="425">
        <v>0</v>
      </c>
      <c r="B917" s="12">
        <v>917</v>
      </c>
      <c r="C917" s="12" t="str">
        <f t="shared" si="14"/>
        <v>Trads917</v>
      </c>
    </row>
    <row r="918" spans="1:3">
      <c r="A918" s="425">
        <v>0</v>
      </c>
      <c r="B918" s="12">
        <v>918</v>
      </c>
      <c r="C918" s="12" t="str">
        <f t="shared" si="14"/>
        <v>Trads918</v>
      </c>
    </row>
    <row r="919" spans="1:3">
      <c r="A919" s="425">
        <v>0</v>
      </c>
      <c r="B919" s="12">
        <v>919</v>
      </c>
      <c r="C919" s="12" t="str">
        <f t="shared" si="14"/>
        <v>Trads919</v>
      </c>
    </row>
    <row r="920" spans="1:3">
      <c r="A920" s="425">
        <v>0</v>
      </c>
      <c r="B920" s="12">
        <v>920</v>
      </c>
      <c r="C920" s="12" t="str">
        <f t="shared" si="14"/>
        <v>Trads920</v>
      </c>
    </row>
    <row r="921" spans="1:3">
      <c r="A921" s="425">
        <v>0</v>
      </c>
      <c r="B921" s="12">
        <v>921</v>
      </c>
      <c r="C921" s="12" t="str">
        <f t="shared" si="14"/>
        <v>Trads921</v>
      </c>
    </row>
    <row r="922" spans="1:3">
      <c r="A922" s="425">
        <v>0</v>
      </c>
      <c r="B922" s="12">
        <v>922</v>
      </c>
      <c r="C922" s="12" t="str">
        <f t="shared" si="14"/>
        <v>Trads922</v>
      </c>
    </row>
    <row r="923" spans="1:3">
      <c r="A923" s="425">
        <v>0</v>
      </c>
      <c r="B923" s="12">
        <v>923</v>
      </c>
      <c r="C923" s="12" t="str">
        <f t="shared" si="14"/>
        <v>Trads923</v>
      </c>
    </row>
    <row r="924" spans="1:3">
      <c r="A924" s="425">
        <v>0</v>
      </c>
      <c r="B924" s="12">
        <v>924</v>
      </c>
      <c r="C924" s="12" t="str">
        <f t="shared" si="14"/>
        <v>Trads924</v>
      </c>
    </row>
    <row r="925" spans="1:3">
      <c r="A925" s="425">
        <v>0</v>
      </c>
      <c r="B925" s="12">
        <v>925</v>
      </c>
      <c r="C925" s="12" t="str">
        <f t="shared" si="14"/>
        <v>Trads925</v>
      </c>
    </row>
    <row r="926" spans="1:3">
      <c r="A926" s="425">
        <v>0</v>
      </c>
      <c r="B926" s="12">
        <v>926</v>
      </c>
      <c r="C926" s="12" t="str">
        <f t="shared" si="14"/>
        <v>Trads926</v>
      </c>
    </row>
    <row r="927" spans="1:3">
      <c r="A927" s="425">
        <v>0</v>
      </c>
      <c r="B927" s="12">
        <v>927</v>
      </c>
      <c r="C927" s="12" t="str">
        <f t="shared" si="14"/>
        <v>Trads927</v>
      </c>
    </row>
    <row r="928" spans="1:3">
      <c r="A928" s="425">
        <v>0</v>
      </c>
      <c r="B928" s="12">
        <v>928</v>
      </c>
      <c r="C928" s="12" t="str">
        <f t="shared" si="14"/>
        <v>Trads928</v>
      </c>
    </row>
    <row r="929" spans="1:3">
      <c r="A929" s="425">
        <v>0</v>
      </c>
      <c r="B929" s="12">
        <v>929</v>
      </c>
      <c r="C929" s="12" t="str">
        <f t="shared" si="14"/>
        <v>Trads929</v>
      </c>
    </row>
    <row r="930" spans="1:3">
      <c r="A930" s="425">
        <v>0</v>
      </c>
      <c r="B930" s="12">
        <v>930</v>
      </c>
      <c r="C930" s="12" t="str">
        <f t="shared" si="14"/>
        <v>Trads930</v>
      </c>
    </row>
    <row r="931" spans="1:3">
      <c r="A931" s="425">
        <v>0</v>
      </c>
      <c r="B931" s="12">
        <v>931</v>
      </c>
      <c r="C931" s="12" t="str">
        <f t="shared" si="14"/>
        <v>Trads931</v>
      </c>
    </row>
    <row r="932" spans="1:3">
      <c r="A932" s="425">
        <v>0</v>
      </c>
      <c r="B932" s="12">
        <v>932</v>
      </c>
      <c r="C932" s="12" t="str">
        <f t="shared" si="14"/>
        <v>Trads932</v>
      </c>
    </row>
    <row r="933" spans="1:3">
      <c r="A933" s="425">
        <v>0</v>
      </c>
      <c r="B933" s="12">
        <v>933</v>
      </c>
      <c r="C933" s="12" t="str">
        <f t="shared" si="14"/>
        <v>Trads933</v>
      </c>
    </row>
    <row r="934" spans="1:3">
      <c r="A934" s="425">
        <v>0</v>
      </c>
      <c r="B934" s="12">
        <v>934</v>
      </c>
      <c r="C934" s="12" t="str">
        <f t="shared" si="14"/>
        <v>Trads934</v>
      </c>
    </row>
    <row r="935" spans="1:3">
      <c r="A935" s="425">
        <v>0</v>
      </c>
      <c r="B935" s="12">
        <v>935</v>
      </c>
      <c r="C935" s="12" t="str">
        <f t="shared" si="14"/>
        <v>Trads935</v>
      </c>
    </row>
    <row r="936" spans="1:3">
      <c r="A936" s="425">
        <v>0</v>
      </c>
      <c r="B936" s="12">
        <v>936</v>
      </c>
      <c r="C936" s="12" t="str">
        <f t="shared" si="14"/>
        <v>Trads936</v>
      </c>
    </row>
    <row r="937" spans="1:3">
      <c r="A937" s="425">
        <v>0</v>
      </c>
      <c r="B937" s="12">
        <v>937</v>
      </c>
      <c r="C937" s="12" t="str">
        <f t="shared" si="14"/>
        <v>Trads937</v>
      </c>
    </row>
    <row r="938" spans="1:3">
      <c r="A938" s="425">
        <v>0</v>
      </c>
      <c r="B938" s="12">
        <v>938</v>
      </c>
      <c r="C938" s="12" t="str">
        <f t="shared" si="14"/>
        <v>Trads938</v>
      </c>
    </row>
    <row r="939" spans="1:3">
      <c r="A939" s="425">
        <v>0</v>
      </c>
      <c r="B939" s="12">
        <v>939</v>
      </c>
      <c r="C939" s="12" t="str">
        <f t="shared" si="14"/>
        <v>Trads939</v>
      </c>
    </row>
    <row r="940" spans="1:3">
      <c r="A940" s="425">
        <v>0</v>
      </c>
      <c r="B940" s="12">
        <v>940</v>
      </c>
      <c r="C940" s="12" t="str">
        <f t="shared" si="14"/>
        <v>Trads940</v>
      </c>
    </row>
    <row r="941" spans="1:3">
      <c r="A941" s="425">
        <v>0</v>
      </c>
      <c r="B941" s="12">
        <v>941</v>
      </c>
      <c r="C941" s="12" t="str">
        <f t="shared" si="14"/>
        <v>Trads941</v>
      </c>
    </row>
    <row r="942" spans="1:3">
      <c r="A942" s="425">
        <v>0</v>
      </c>
      <c r="B942" s="12">
        <v>942</v>
      </c>
      <c r="C942" s="12" t="str">
        <f t="shared" si="14"/>
        <v>Trads942</v>
      </c>
    </row>
    <row r="943" spans="1:3">
      <c r="A943" s="425">
        <v>0</v>
      </c>
      <c r="B943" s="12">
        <v>943</v>
      </c>
      <c r="C943" s="12" t="str">
        <f t="shared" si="14"/>
        <v>Trads943</v>
      </c>
    </row>
    <row r="944" spans="1:3">
      <c r="A944" s="425">
        <v>0</v>
      </c>
      <c r="B944" s="12">
        <v>944</v>
      </c>
      <c r="C944" s="12" t="str">
        <f t="shared" si="14"/>
        <v>Trads944</v>
      </c>
    </row>
    <row r="945" spans="1:3">
      <c r="A945" s="425">
        <v>0</v>
      </c>
      <c r="B945" s="12">
        <v>945</v>
      </c>
      <c r="C945" s="12" t="str">
        <f t="shared" si="14"/>
        <v>Trads945</v>
      </c>
    </row>
    <row r="946" spans="1:3">
      <c r="A946" s="425">
        <v>0</v>
      </c>
      <c r="B946" s="12">
        <v>946</v>
      </c>
      <c r="C946" s="12" t="str">
        <f t="shared" si="14"/>
        <v>Trads946</v>
      </c>
    </row>
    <row r="947" spans="1:3">
      <c r="A947" s="425">
        <v>0</v>
      </c>
      <c r="B947" s="12">
        <v>947</v>
      </c>
      <c r="C947" s="12" t="str">
        <f t="shared" si="14"/>
        <v>Trads947</v>
      </c>
    </row>
    <row r="948" spans="1:3">
      <c r="A948" s="425">
        <v>0</v>
      </c>
      <c r="B948" s="12">
        <v>948</v>
      </c>
      <c r="C948" s="12" t="str">
        <f t="shared" si="14"/>
        <v>Trads948</v>
      </c>
    </row>
    <row r="949" spans="1:3">
      <c r="A949" s="425">
        <v>0</v>
      </c>
      <c r="B949" s="12">
        <v>949</v>
      </c>
      <c r="C949" s="12" t="str">
        <f t="shared" si="14"/>
        <v>Trads949</v>
      </c>
    </row>
    <row r="950" spans="1:3">
      <c r="A950" s="425">
        <v>0</v>
      </c>
      <c r="B950" s="12">
        <v>950</v>
      </c>
      <c r="C950" s="12" t="str">
        <f t="shared" si="14"/>
        <v>Trads950</v>
      </c>
    </row>
    <row r="951" spans="1:3">
      <c r="A951" s="425">
        <v>0</v>
      </c>
      <c r="B951" s="12">
        <v>951</v>
      </c>
      <c r="C951" s="12" t="str">
        <f t="shared" si="14"/>
        <v>Trads951</v>
      </c>
    </row>
    <row r="952" spans="1:3">
      <c r="A952" s="425">
        <v>0</v>
      </c>
      <c r="B952" s="12">
        <v>952</v>
      </c>
      <c r="C952" s="12" t="str">
        <f t="shared" si="14"/>
        <v>Trads952</v>
      </c>
    </row>
    <row r="953" spans="1:3">
      <c r="A953" s="425">
        <v>0</v>
      </c>
      <c r="B953" s="12">
        <v>953</v>
      </c>
      <c r="C953" s="12" t="str">
        <f t="shared" si="14"/>
        <v>Trads953</v>
      </c>
    </row>
    <row r="954" spans="1:3">
      <c r="A954" s="425">
        <v>0</v>
      </c>
      <c r="B954" s="12">
        <v>954</v>
      </c>
      <c r="C954" s="12" t="str">
        <f t="shared" si="14"/>
        <v>Trads954</v>
      </c>
    </row>
    <row r="955" spans="1:3">
      <c r="A955" s="425">
        <v>0</v>
      </c>
      <c r="B955" s="12">
        <v>955</v>
      </c>
      <c r="C955" s="12" t="str">
        <f t="shared" si="14"/>
        <v>Trads955</v>
      </c>
    </row>
    <row r="956" spans="1:3">
      <c r="A956" s="425">
        <v>0</v>
      </c>
      <c r="B956" s="12">
        <v>956</v>
      </c>
      <c r="C956" s="12" t="str">
        <f t="shared" si="14"/>
        <v>Trads956</v>
      </c>
    </row>
    <row r="957" spans="1:3">
      <c r="A957" s="425">
        <v>0</v>
      </c>
      <c r="B957" s="12">
        <v>957</v>
      </c>
      <c r="C957" s="12" t="str">
        <f t="shared" si="14"/>
        <v>Trads957</v>
      </c>
    </row>
    <row r="958" spans="1:3">
      <c r="A958" s="425">
        <v>0</v>
      </c>
      <c r="B958" s="12">
        <v>958</v>
      </c>
      <c r="C958" s="12" t="str">
        <f t="shared" si="14"/>
        <v>Trads958</v>
      </c>
    </row>
    <row r="959" spans="1:3">
      <c r="A959" s="425">
        <v>0</v>
      </c>
      <c r="B959" s="12">
        <v>959</v>
      </c>
      <c r="C959" s="12" t="str">
        <f t="shared" si="14"/>
        <v>Trads959</v>
      </c>
    </row>
    <row r="960" spans="1:3">
      <c r="A960" s="425">
        <v>0</v>
      </c>
      <c r="B960" s="12">
        <v>960</v>
      </c>
      <c r="C960" s="12" t="str">
        <f t="shared" si="14"/>
        <v>Trads960</v>
      </c>
    </row>
    <row r="961" spans="1:3">
      <c r="A961" s="425">
        <v>0</v>
      </c>
      <c r="B961" s="12">
        <v>961</v>
      </c>
      <c r="C961" s="12" t="str">
        <f t="shared" si="14"/>
        <v>Trads961</v>
      </c>
    </row>
    <row r="962" spans="1:3">
      <c r="A962" s="425">
        <v>0</v>
      </c>
      <c r="B962" s="12">
        <v>962</v>
      </c>
      <c r="C962" s="12" t="str">
        <f t="shared" si="14"/>
        <v>Trads962</v>
      </c>
    </row>
    <row r="963" spans="1:3">
      <c r="A963" s="425">
        <v>0</v>
      </c>
      <c r="B963" s="12">
        <v>963</v>
      </c>
      <c r="C963" s="12" t="str">
        <f t="shared" ref="C963:C1026" si="15">+_xlfn.CONCAT("Trads",B963)</f>
        <v>Trads963</v>
      </c>
    </row>
    <row r="964" spans="1:3">
      <c r="A964" s="425">
        <v>0</v>
      </c>
      <c r="B964" s="12">
        <v>964</v>
      </c>
      <c r="C964" s="12" t="str">
        <f t="shared" si="15"/>
        <v>Trads964</v>
      </c>
    </row>
    <row r="965" spans="1:3">
      <c r="A965" s="425">
        <v>0</v>
      </c>
      <c r="B965" s="12">
        <v>965</v>
      </c>
      <c r="C965" s="12" t="str">
        <f t="shared" si="15"/>
        <v>Trads965</v>
      </c>
    </row>
    <row r="966" spans="1:3">
      <c r="A966" s="425">
        <v>0</v>
      </c>
      <c r="B966" s="12">
        <v>966</v>
      </c>
      <c r="C966" s="12" t="str">
        <f t="shared" si="15"/>
        <v>Trads966</v>
      </c>
    </row>
    <row r="967" spans="1:3">
      <c r="A967" s="425">
        <v>0</v>
      </c>
      <c r="B967" s="12">
        <v>967</v>
      </c>
      <c r="C967" s="12" t="str">
        <f t="shared" si="15"/>
        <v>Trads967</v>
      </c>
    </row>
    <row r="968" spans="1:3">
      <c r="A968" s="425">
        <v>0</v>
      </c>
      <c r="B968" s="12">
        <v>968</v>
      </c>
      <c r="C968" s="12" t="str">
        <f t="shared" si="15"/>
        <v>Trads968</v>
      </c>
    </row>
    <row r="969" spans="1:3">
      <c r="A969" s="425">
        <v>0</v>
      </c>
      <c r="B969" s="12">
        <v>969</v>
      </c>
      <c r="C969" s="12" t="str">
        <f t="shared" si="15"/>
        <v>Trads969</v>
      </c>
    </row>
    <row r="970" spans="1:3">
      <c r="A970" s="425">
        <v>0</v>
      </c>
      <c r="B970" s="12">
        <v>970</v>
      </c>
      <c r="C970" s="12" t="str">
        <f t="shared" si="15"/>
        <v>Trads970</v>
      </c>
    </row>
    <row r="971" spans="1:3">
      <c r="A971" s="425">
        <v>0</v>
      </c>
      <c r="B971" s="12">
        <v>971</v>
      </c>
      <c r="C971" s="12" t="str">
        <f t="shared" si="15"/>
        <v>Trads971</v>
      </c>
    </row>
    <row r="972" spans="1:3">
      <c r="A972" s="425">
        <v>0</v>
      </c>
      <c r="B972" s="12">
        <v>972</v>
      </c>
      <c r="C972" s="12" t="str">
        <f t="shared" si="15"/>
        <v>Trads972</v>
      </c>
    </row>
    <row r="973" spans="1:3">
      <c r="A973" s="425">
        <v>0</v>
      </c>
      <c r="B973" s="12">
        <v>973</v>
      </c>
      <c r="C973" s="12" t="str">
        <f t="shared" si="15"/>
        <v>Trads973</v>
      </c>
    </row>
    <row r="974" spans="1:3">
      <c r="A974" s="425">
        <v>0</v>
      </c>
      <c r="B974" s="12">
        <v>974</v>
      </c>
      <c r="C974" s="12" t="str">
        <f t="shared" si="15"/>
        <v>Trads974</v>
      </c>
    </row>
    <row r="975" spans="1:3">
      <c r="A975" s="425">
        <v>0</v>
      </c>
      <c r="B975" s="12">
        <v>975</v>
      </c>
      <c r="C975" s="12" t="str">
        <f t="shared" si="15"/>
        <v>Trads975</v>
      </c>
    </row>
    <row r="976" spans="1:3">
      <c r="A976" s="425">
        <v>0</v>
      </c>
      <c r="B976" s="12">
        <v>976</v>
      </c>
      <c r="C976" s="12" t="str">
        <f t="shared" si="15"/>
        <v>Trads976</v>
      </c>
    </row>
    <row r="977" spans="1:3">
      <c r="A977" s="425">
        <v>0</v>
      </c>
      <c r="B977" s="12">
        <v>977</v>
      </c>
      <c r="C977" s="12" t="str">
        <f t="shared" si="15"/>
        <v>Trads977</v>
      </c>
    </row>
    <row r="978" spans="1:3">
      <c r="A978" s="425">
        <v>0</v>
      </c>
      <c r="B978" s="12">
        <v>978</v>
      </c>
      <c r="C978" s="12" t="str">
        <f t="shared" si="15"/>
        <v>Trads978</v>
      </c>
    </row>
    <row r="979" spans="1:3">
      <c r="A979" s="425">
        <v>0</v>
      </c>
      <c r="B979" s="12">
        <v>979</v>
      </c>
      <c r="C979" s="12" t="str">
        <f t="shared" si="15"/>
        <v>Trads979</v>
      </c>
    </row>
    <row r="980" spans="1:3">
      <c r="A980" s="425">
        <v>0</v>
      </c>
      <c r="B980" s="12">
        <v>980</v>
      </c>
      <c r="C980" s="12" t="str">
        <f t="shared" si="15"/>
        <v>Trads980</v>
      </c>
    </row>
    <row r="981" spans="1:3">
      <c r="A981" s="425">
        <v>0</v>
      </c>
      <c r="B981" s="12">
        <v>981</v>
      </c>
      <c r="C981" s="12" t="str">
        <f t="shared" si="15"/>
        <v>Trads981</v>
      </c>
    </row>
    <row r="982" spans="1:3">
      <c r="A982" s="425">
        <v>0</v>
      </c>
      <c r="B982" s="12">
        <v>982</v>
      </c>
      <c r="C982" s="12" t="str">
        <f t="shared" si="15"/>
        <v>Trads982</v>
      </c>
    </row>
    <row r="983" spans="1:3">
      <c r="A983" s="425">
        <v>0</v>
      </c>
      <c r="B983" s="12">
        <v>983</v>
      </c>
      <c r="C983" s="12" t="str">
        <f t="shared" si="15"/>
        <v>Trads983</v>
      </c>
    </row>
    <row r="984" spans="1:3">
      <c r="A984" s="425">
        <v>0</v>
      </c>
      <c r="B984" s="12">
        <v>984</v>
      </c>
      <c r="C984" s="12" t="str">
        <f t="shared" si="15"/>
        <v>Trads984</v>
      </c>
    </row>
    <row r="985" spans="1:3">
      <c r="A985" s="425">
        <v>0</v>
      </c>
      <c r="B985" s="12">
        <v>985</v>
      </c>
      <c r="C985" s="12" t="str">
        <f t="shared" si="15"/>
        <v>Trads985</v>
      </c>
    </row>
    <row r="986" spans="1:3">
      <c r="A986" s="425">
        <v>0</v>
      </c>
      <c r="B986" s="12">
        <v>986</v>
      </c>
      <c r="C986" s="12" t="str">
        <f t="shared" si="15"/>
        <v>Trads986</v>
      </c>
    </row>
    <row r="987" spans="1:3">
      <c r="A987" s="425">
        <v>0</v>
      </c>
      <c r="B987" s="12">
        <v>987</v>
      </c>
      <c r="C987" s="12" t="str">
        <f t="shared" si="15"/>
        <v>Trads987</v>
      </c>
    </row>
    <row r="988" spans="1:3">
      <c r="A988" s="425">
        <v>0</v>
      </c>
      <c r="B988" s="12">
        <v>988</v>
      </c>
      <c r="C988" s="12" t="str">
        <f t="shared" si="15"/>
        <v>Trads988</v>
      </c>
    </row>
    <row r="989" spans="1:3">
      <c r="A989" s="425">
        <v>0</v>
      </c>
      <c r="B989" s="12">
        <v>989</v>
      </c>
      <c r="C989" s="12" t="str">
        <f t="shared" si="15"/>
        <v>Trads989</v>
      </c>
    </row>
    <row r="990" spans="1:3">
      <c r="A990" s="425">
        <v>0</v>
      </c>
      <c r="B990" s="12">
        <v>990</v>
      </c>
      <c r="C990" s="12" t="str">
        <f t="shared" si="15"/>
        <v>Trads990</v>
      </c>
    </row>
    <row r="991" spans="1:3">
      <c r="A991" s="425">
        <v>0</v>
      </c>
      <c r="B991" s="12">
        <v>991</v>
      </c>
      <c r="C991" s="12" t="str">
        <f t="shared" si="15"/>
        <v>Trads991</v>
      </c>
    </row>
    <row r="992" spans="1:3">
      <c r="A992" s="425">
        <v>0</v>
      </c>
      <c r="B992" s="12">
        <v>992</v>
      </c>
      <c r="C992" s="12" t="str">
        <f t="shared" si="15"/>
        <v>Trads992</v>
      </c>
    </row>
    <row r="993" spans="1:3">
      <c r="A993" s="425">
        <v>0</v>
      </c>
      <c r="B993" s="12">
        <v>993</v>
      </c>
      <c r="C993" s="12" t="str">
        <f t="shared" si="15"/>
        <v>Trads993</v>
      </c>
    </row>
    <row r="994" spans="1:3">
      <c r="A994" s="425">
        <v>0</v>
      </c>
      <c r="B994" s="12">
        <v>994</v>
      </c>
      <c r="C994" s="12" t="str">
        <f t="shared" si="15"/>
        <v>Trads994</v>
      </c>
    </row>
    <row r="995" spans="1:3">
      <c r="A995" s="425">
        <v>0</v>
      </c>
      <c r="B995" s="12">
        <v>995</v>
      </c>
      <c r="C995" s="12" t="str">
        <f t="shared" si="15"/>
        <v>Trads995</v>
      </c>
    </row>
    <row r="996" spans="1:3">
      <c r="A996" s="425">
        <v>0</v>
      </c>
      <c r="B996" s="12">
        <v>996</v>
      </c>
      <c r="C996" s="12" t="str">
        <f t="shared" si="15"/>
        <v>Trads996</v>
      </c>
    </row>
    <row r="997" spans="1:3">
      <c r="A997" s="425">
        <v>0</v>
      </c>
      <c r="B997" s="12">
        <v>997</v>
      </c>
      <c r="C997" s="12" t="str">
        <f t="shared" si="15"/>
        <v>Trads997</v>
      </c>
    </row>
    <row r="998" spans="1:3">
      <c r="A998" s="425">
        <v>0</v>
      </c>
      <c r="B998" s="12">
        <v>998</v>
      </c>
      <c r="C998" s="12" t="str">
        <f t="shared" si="15"/>
        <v>Trads998</v>
      </c>
    </row>
    <row r="999" spans="1:3">
      <c r="A999" s="425">
        <v>0</v>
      </c>
      <c r="B999" s="12">
        <v>999</v>
      </c>
      <c r="C999" s="12" t="str">
        <f t="shared" si="15"/>
        <v>Trads999</v>
      </c>
    </row>
    <row r="1000" spans="1:3">
      <c r="A1000" s="425">
        <v>0</v>
      </c>
      <c r="B1000" s="12">
        <v>1000</v>
      </c>
      <c r="C1000" s="12" t="str">
        <f t="shared" si="15"/>
        <v>Trads1000</v>
      </c>
    </row>
    <row r="1001" spans="1:3">
      <c r="A1001" s="425">
        <v>0</v>
      </c>
      <c r="B1001" s="12">
        <v>1001</v>
      </c>
      <c r="C1001" s="12" t="str">
        <f t="shared" si="15"/>
        <v>Trads1001</v>
      </c>
    </row>
    <row r="1002" spans="1:3">
      <c r="A1002" s="425">
        <v>0</v>
      </c>
      <c r="B1002" s="12">
        <v>1002</v>
      </c>
      <c r="C1002" s="12" t="str">
        <f t="shared" si="15"/>
        <v>Trads1002</v>
      </c>
    </row>
    <row r="1003" spans="1:3">
      <c r="A1003" s="425">
        <v>0</v>
      </c>
      <c r="B1003" s="12">
        <v>1003</v>
      </c>
      <c r="C1003" s="12" t="str">
        <f t="shared" si="15"/>
        <v>Trads1003</v>
      </c>
    </row>
    <row r="1004" spans="1:3">
      <c r="A1004" s="425">
        <v>0</v>
      </c>
      <c r="B1004" s="12">
        <v>1004</v>
      </c>
      <c r="C1004" s="12" t="str">
        <f t="shared" si="15"/>
        <v>Trads1004</v>
      </c>
    </row>
    <row r="1005" spans="1:3">
      <c r="A1005" s="425">
        <v>0</v>
      </c>
      <c r="B1005" s="12">
        <v>1005</v>
      </c>
      <c r="C1005" s="12" t="str">
        <f t="shared" si="15"/>
        <v>Trads1005</v>
      </c>
    </row>
    <row r="1006" spans="1:3">
      <c r="A1006" s="425">
        <v>0</v>
      </c>
      <c r="B1006" s="12">
        <v>1006</v>
      </c>
      <c r="C1006" s="12" t="str">
        <f t="shared" si="15"/>
        <v>Trads1006</v>
      </c>
    </row>
    <row r="1007" spans="1:3">
      <c r="A1007" s="425">
        <v>0</v>
      </c>
      <c r="B1007" s="12">
        <v>1007</v>
      </c>
      <c r="C1007" s="12" t="str">
        <f t="shared" si="15"/>
        <v>Trads1007</v>
      </c>
    </row>
    <row r="1008" spans="1:3">
      <c r="A1008" s="425">
        <v>0</v>
      </c>
      <c r="B1008" s="12">
        <v>1008</v>
      </c>
      <c r="C1008" s="12" t="str">
        <f t="shared" si="15"/>
        <v>Trads1008</v>
      </c>
    </row>
    <row r="1009" spans="1:3">
      <c r="A1009" s="425">
        <v>0</v>
      </c>
      <c r="B1009" s="12">
        <v>1009</v>
      </c>
      <c r="C1009" s="12" t="str">
        <f t="shared" si="15"/>
        <v>Trads1009</v>
      </c>
    </row>
    <row r="1010" spans="1:3">
      <c r="A1010" s="425">
        <v>0</v>
      </c>
      <c r="B1010" s="12">
        <v>1010</v>
      </c>
      <c r="C1010" s="12" t="str">
        <f t="shared" si="15"/>
        <v>Trads1010</v>
      </c>
    </row>
    <row r="1011" spans="1:3">
      <c r="A1011" s="425">
        <v>0</v>
      </c>
      <c r="B1011" s="12">
        <v>1011</v>
      </c>
      <c r="C1011" s="12" t="str">
        <f t="shared" si="15"/>
        <v>Trads1011</v>
      </c>
    </row>
    <row r="1012" spans="1:3">
      <c r="A1012" s="425">
        <v>0</v>
      </c>
      <c r="B1012" s="12">
        <v>1012</v>
      </c>
      <c r="C1012" s="12" t="str">
        <f t="shared" si="15"/>
        <v>Trads1012</v>
      </c>
    </row>
    <row r="1013" spans="1:3">
      <c r="A1013" s="425">
        <v>0</v>
      </c>
      <c r="B1013" s="12">
        <v>1013</v>
      </c>
      <c r="C1013" s="12" t="str">
        <f t="shared" si="15"/>
        <v>Trads1013</v>
      </c>
    </row>
    <row r="1014" spans="1:3">
      <c r="A1014" s="425">
        <v>0</v>
      </c>
      <c r="B1014" s="12">
        <v>1014</v>
      </c>
      <c r="C1014" s="12" t="str">
        <f t="shared" si="15"/>
        <v>Trads1014</v>
      </c>
    </row>
    <row r="1015" spans="1:3">
      <c r="A1015" s="425">
        <v>0</v>
      </c>
      <c r="B1015" s="12">
        <v>1015</v>
      </c>
      <c r="C1015" s="12" t="str">
        <f t="shared" si="15"/>
        <v>Trads1015</v>
      </c>
    </row>
    <row r="1016" spans="1:3">
      <c r="A1016" s="425">
        <v>0</v>
      </c>
      <c r="B1016" s="12">
        <v>1016</v>
      </c>
      <c r="C1016" s="12" t="str">
        <f t="shared" si="15"/>
        <v>Trads1016</v>
      </c>
    </row>
    <row r="1017" spans="1:3">
      <c r="A1017" s="425">
        <v>0</v>
      </c>
      <c r="B1017" s="12">
        <v>1017</v>
      </c>
      <c r="C1017" s="12" t="str">
        <f t="shared" si="15"/>
        <v>Trads1017</v>
      </c>
    </row>
    <row r="1018" spans="1:3">
      <c r="A1018" s="425">
        <v>0</v>
      </c>
      <c r="B1018" s="12">
        <v>1018</v>
      </c>
      <c r="C1018" s="12" t="str">
        <f t="shared" si="15"/>
        <v>Trads1018</v>
      </c>
    </row>
    <row r="1019" spans="1:3">
      <c r="A1019" s="425">
        <v>0</v>
      </c>
      <c r="B1019" s="12">
        <v>1019</v>
      </c>
      <c r="C1019" s="12" t="str">
        <f t="shared" si="15"/>
        <v>Trads1019</v>
      </c>
    </row>
    <row r="1020" spans="1:3">
      <c r="A1020" s="425">
        <v>0</v>
      </c>
      <c r="B1020" s="12">
        <v>1020</v>
      </c>
      <c r="C1020" s="12" t="str">
        <f t="shared" si="15"/>
        <v>Trads1020</v>
      </c>
    </row>
    <row r="1021" spans="1:3">
      <c r="A1021" s="425">
        <v>0</v>
      </c>
      <c r="B1021" s="12">
        <v>1021</v>
      </c>
      <c r="C1021" s="12" t="str">
        <f t="shared" si="15"/>
        <v>Trads1021</v>
      </c>
    </row>
    <row r="1022" spans="1:3">
      <c r="A1022" s="425">
        <v>0</v>
      </c>
      <c r="B1022" s="12">
        <v>1022</v>
      </c>
      <c r="C1022" s="12" t="str">
        <f t="shared" si="15"/>
        <v>Trads1022</v>
      </c>
    </row>
    <row r="1023" spans="1:3">
      <c r="A1023" s="425">
        <v>0</v>
      </c>
      <c r="B1023" s="12">
        <v>1023</v>
      </c>
      <c r="C1023" s="12" t="str">
        <f t="shared" si="15"/>
        <v>Trads1023</v>
      </c>
    </row>
    <row r="1024" spans="1:3">
      <c r="A1024" s="425">
        <v>0</v>
      </c>
      <c r="B1024" s="12">
        <v>1024</v>
      </c>
      <c r="C1024" s="12" t="str">
        <f t="shared" si="15"/>
        <v>Trads1024</v>
      </c>
    </row>
    <row r="1025" spans="1:3">
      <c r="A1025" s="425">
        <v>0</v>
      </c>
      <c r="B1025" s="12">
        <v>1025</v>
      </c>
      <c r="C1025" s="12" t="str">
        <f t="shared" si="15"/>
        <v>Trads1025</v>
      </c>
    </row>
    <row r="1026" spans="1:3">
      <c r="A1026" s="425">
        <v>0</v>
      </c>
      <c r="B1026" s="12">
        <v>1026</v>
      </c>
      <c r="C1026" s="12" t="str">
        <f t="shared" si="15"/>
        <v>Trads1026</v>
      </c>
    </row>
    <row r="1027" spans="1:3">
      <c r="A1027" s="425">
        <v>0</v>
      </c>
      <c r="B1027" s="12">
        <v>1027</v>
      </c>
      <c r="C1027" s="12" t="str">
        <f t="shared" ref="C1027:C1090" si="16">+_xlfn.CONCAT("Trads",B1027)</f>
        <v>Trads1027</v>
      </c>
    </row>
    <row r="1028" spans="1:3">
      <c r="A1028" s="425">
        <v>0</v>
      </c>
      <c r="B1028" s="12">
        <v>1028</v>
      </c>
      <c r="C1028" s="12" t="str">
        <f t="shared" si="16"/>
        <v>Trads1028</v>
      </c>
    </row>
    <row r="1029" spans="1:3">
      <c r="A1029" s="425">
        <v>0</v>
      </c>
      <c r="B1029" s="12">
        <v>1029</v>
      </c>
      <c r="C1029" s="12" t="str">
        <f t="shared" si="16"/>
        <v>Trads1029</v>
      </c>
    </row>
    <row r="1030" spans="1:3">
      <c r="A1030" s="425">
        <v>0</v>
      </c>
      <c r="B1030" s="12">
        <v>1030</v>
      </c>
      <c r="C1030" s="12" t="str">
        <f t="shared" si="16"/>
        <v>Trads1030</v>
      </c>
    </row>
    <row r="1031" spans="1:3">
      <c r="A1031" s="425">
        <v>0</v>
      </c>
      <c r="B1031" s="12">
        <v>1031</v>
      </c>
      <c r="C1031" s="12" t="str">
        <f t="shared" si="16"/>
        <v>Trads1031</v>
      </c>
    </row>
    <row r="1032" spans="1:3">
      <c r="A1032" s="425">
        <v>0</v>
      </c>
      <c r="B1032" s="12">
        <v>1032</v>
      </c>
      <c r="C1032" s="12" t="str">
        <f t="shared" si="16"/>
        <v>Trads1032</v>
      </c>
    </row>
    <row r="1033" spans="1:3">
      <c r="A1033" s="425">
        <v>0</v>
      </c>
      <c r="B1033" s="12">
        <v>1033</v>
      </c>
      <c r="C1033" s="12" t="str">
        <f t="shared" si="16"/>
        <v>Trads1033</v>
      </c>
    </row>
    <row r="1034" spans="1:3">
      <c r="A1034" s="425">
        <v>0</v>
      </c>
      <c r="B1034" s="12">
        <v>1034</v>
      </c>
      <c r="C1034" s="12" t="str">
        <f t="shared" si="16"/>
        <v>Trads1034</v>
      </c>
    </row>
    <row r="1035" spans="1:3">
      <c r="A1035" s="425">
        <v>0</v>
      </c>
      <c r="B1035" s="12">
        <v>1035</v>
      </c>
      <c r="C1035" s="12" t="str">
        <f t="shared" si="16"/>
        <v>Trads1035</v>
      </c>
    </row>
    <row r="1036" spans="1:3">
      <c r="A1036" s="425">
        <v>0</v>
      </c>
      <c r="B1036" s="12">
        <v>1036</v>
      </c>
      <c r="C1036" s="12" t="str">
        <f t="shared" si="16"/>
        <v>Trads1036</v>
      </c>
    </row>
    <row r="1037" spans="1:3">
      <c r="A1037" s="425">
        <v>0</v>
      </c>
      <c r="B1037" s="12">
        <v>1037</v>
      </c>
      <c r="C1037" s="12" t="str">
        <f t="shared" si="16"/>
        <v>Trads1037</v>
      </c>
    </row>
    <row r="1038" spans="1:3">
      <c r="A1038" s="425">
        <v>0</v>
      </c>
      <c r="B1038" s="12">
        <v>1038</v>
      </c>
      <c r="C1038" s="12" t="str">
        <f t="shared" si="16"/>
        <v>Trads1038</v>
      </c>
    </row>
    <row r="1039" spans="1:3">
      <c r="A1039" s="425">
        <v>0</v>
      </c>
      <c r="B1039" s="12">
        <v>1039</v>
      </c>
      <c r="C1039" s="12" t="str">
        <f t="shared" si="16"/>
        <v>Trads1039</v>
      </c>
    </row>
    <row r="1040" spans="1:3">
      <c r="A1040" s="425">
        <v>0</v>
      </c>
      <c r="B1040" s="12">
        <v>1040</v>
      </c>
      <c r="C1040" s="12" t="str">
        <f t="shared" si="16"/>
        <v>Trads1040</v>
      </c>
    </row>
    <row r="1041" spans="1:3">
      <c r="A1041" s="425">
        <v>0</v>
      </c>
      <c r="B1041" s="12">
        <v>1041</v>
      </c>
      <c r="C1041" s="12" t="str">
        <f t="shared" si="16"/>
        <v>Trads1041</v>
      </c>
    </row>
    <row r="1042" spans="1:3">
      <c r="A1042" s="425">
        <v>0</v>
      </c>
      <c r="B1042" s="12">
        <v>1042</v>
      </c>
      <c r="C1042" s="12" t="str">
        <f t="shared" si="16"/>
        <v>Trads1042</v>
      </c>
    </row>
    <row r="1043" spans="1:3">
      <c r="A1043" s="425">
        <v>0</v>
      </c>
      <c r="B1043" s="12">
        <v>1043</v>
      </c>
      <c r="C1043" s="12" t="str">
        <f t="shared" si="16"/>
        <v>Trads1043</v>
      </c>
    </row>
    <row r="1044" spans="1:3">
      <c r="A1044" s="425">
        <v>0</v>
      </c>
      <c r="B1044" s="12">
        <v>1044</v>
      </c>
      <c r="C1044" s="12" t="str">
        <f t="shared" si="16"/>
        <v>Trads1044</v>
      </c>
    </row>
    <row r="1045" spans="1:3">
      <c r="A1045" s="425">
        <v>0</v>
      </c>
      <c r="B1045" s="12">
        <v>1045</v>
      </c>
      <c r="C1045" s="12" t="str">
        <f t="shared" si="16"/>
        <v>Trads1045</v>
      </c>
    </row>
    <row r="1046" spans="1:3">
      <c r="A1046" s="425">
        <v>0</v>
      </c>
      <c r="B1046" s="12">
        <v>1046</v>
      </c>
      <c r="C1046" s="12" t="str">
        <f t="shared" si="16"/>
        <v>Trads1046</v>
      </c>
    </row>
    <row r="1047" spans="1:3">
      <c r="A1047" s="425">
        <v>0</v>
      </c>
      <c r="B1047" s="12">
        <v>1047</v>
      </c>
      <c r="C1047" s="12" t="str">
        <f t="shared" si="16"/>
        <v>Trads1047</v>
      </c>
    </row>
    <row r="1048" spans="1:3">
      <c r="A1048" s="425">
        <v>0</v>
      </c>
      <c r="B1048" s="12">
        <v>1048</v>
      </c>
      <c r="C1048" s="12" t="str">
        <f t="shared" si="16"/>
        <v>Trads1048</v>
      </c>
    </row>
    <row r="1049" spans="1:3">
      <c r="A1049" s="425">
        <v>0</v>
      </c>
      <c r="B1049" s="12">
        <v>1049</v>
      </c>
      <c r="C1049" s="12" t="str">
        <f t="shared" si="16"/>
        <v>Trads1049</v>
      </c>
    </row>
    <row r="1050" spans="1:3">
      <c r="A1050" s="425">
        <v>0</v>
      </c>
      <c r="B1050" s="12">
        <v>1050</v>
      </c>
      <c r="C1050" s="12" t="str">
        <f t="shared" si="16"/>
        <v>Trads1050</v>
      </c>
    </row>
    <row r="1051" spans="1:3">
      <c r="A1051" s="425">
        <v>0</v>
      </c>
      <c r="B1051" s="12">
        <v>1051</v>
      </c>
      <c r="C1051" s="12" t="str">
        <f t="shared" si="16"/>
        <v>Trads1051</v>
      </c>
    </row>
    <row r="1052" spans="1:3">
      <c r="A1052" s="425">
        <v>0</v>
      </c>
      <c r="B1052" s="12">
        <v>1052</v>
      </c>
      <c r="C1052" s="12" t="str">
        <f t="shared" si="16"/>
        <v>Trads1052</v>
      </c>
    </row>
    <row r="1053" spans="1:3">
      <c r="A1053" s="425">
        <v>0</v>
      </c>
      <c r="B1053" s="12">
        <v>1053</v>
      </c>
      <c r="C1053" s="12" t="str">
        <f t="shared" si="16"/>
        <v>Trads1053</v>
      </c>
    </row>
    <row r="1054" spans="1:3">
      <c r="A1054" s="425">
        <v>0</v>
      </c>
      <c r="B1054" s="12">
        <v>1054</v>
      </c>
      <c r="C1054" s="12" t="str">
        <f t="shared" si="16"/>
        <v>Trads1054</v>
      </c>
    </row>
    <row r="1055" spans="1:3">
      <c r="A1055" s="425">
        <v>0</v>
      </c>
      <c r="B1055" s="12">
        <v>1055</v>
      </c>
      <c r="C1055" s="12" t="str">
        <f t="shared" si="16"/>
        <v>Trads1055</v>
      </c>
    </row>
    <row r="1056" spans="1:3">
      <c r="A1056" s="425">
        <v>0</v>
      </c>
      <c r="B1056" s="12">
        <v>1056</v>
      </c>
      <c r="C1056" s="12" t="str">
        <f t="shared" si="16"/>
        <v>Trads1056</v>
      </c>
    </row>
    <row r="1057" spans="1:3">
      <c r="A1057" s="425">
        <v>0</v>
      </c>
      <c r="B1057" s="12">
        <v>1057</v>
      </c>
      <c r="C1057" s="12" t="str">
        <f t="shared" si="16"/>
        <v>Trads1057</v>
      </c>
    </row>
    <row r="1058" spans="1:3">
      <c r="A1058" s="425">
        <v>0</v>
      </c>
      <c r="B1058" s="12">
        <v>1058</v>
      </c>
      <c r="C1058" s="12" t="str">
        <f t="shared" si="16"/>
        <v>Trads1058</v>
      </c>
    </row>
    <row r="1059" spans="1:3">
      <c r="A1059" s="425">
        <v>0</v>
      </c>
      <c r="B1059" s="12">
        <v>1059</v>
      </c>
      <c r="C1059" s="12" t="str">
        <f t="shared" si="16"/>
        <v>Trads1059</v>
      </c>
    </row>
    <row r="1060" spans="1:3">
      <c r="A1060" s="425">
        <v>0</v>
      </c>
      <c r="B1060" s="12">
        <v>1060</v>
      </c>
      <c r="C1060" s="12" t="str">
        <f t="shared" si="16"/>
        <v>Trads1060</v>
      </c>
    </row>
    <row r="1061" spans="1:3">
      <c r="A1061" s="425">
        <v>0</v>
      </c>
      <c r="B1061" s="12">
        <v>1061</v>
      </c>
      <c r="C1061" s="12" t="str">
        <f t="shared" si="16"/>
        <v>Trads1061</v>
      </c>
    </row>
    <row r="1062" spans="1:3">
      <c r="A1062" s="425">
        <v>0</v>
      </c>
      <c r="B1062" s="12">
        <v>1062</v>
      </c>
      <c r="C1062" s="12" t="str">
        <f t="shared" si="16"/>
        <v>Trads1062</v>
      </c>
    </row>
    <row r="1063" spans="1:3">
      <c r="A1063" s="425">
        <v>0</v>
      </c>
      <c r="B1063" s="12">
        <v>1063</v>
      </c>
      <c r="C1063" s="12" t="str">
        <f t="shared" si="16"/>
        <v>Trads1063</v>
      </c>
    </row>
    <row r="1064" spans="1:3">
      <c r="A1064" s="425">
        <v>0</v>
      </c>
      <c r="B1064" s="12">
        <v>1064</v>
      </c>
      <c r="C1064" s="12" t="str">
        <f t="shared" si="16"/>
        <v>Trads1064</v>
      </c>
    </row>
    <row r="1065" spans="1:3">
      <c r="A1065" s="425">
        <v>0</v>
      </c>
      <c r="B1065" s="12">
        <v>1065</v>
      </c>
      <c r="C1065" s="12" t="str">
        <f t="shared" si="16"/>
        <v>Trads1065</v>
      </c>
    </row>
    <row r="1066" spans="1:3">
      <c r="A1066" s="425">
        <v>0</v>
      </c>
      <c r="B1066" s="12">
        <v>1066</v>
      </c>
      <c r="C1066" s="12" t="str">
        <f t="shared" si="16"/>
        <v>Trads1066</v>
      </c>
    </row>
    <row r="1067" spans="1:3">
      <c r="A1067" s="425">
        <v>0</v>
      </c>
      <c r="B1067" s="12">
        <v>1067</v>
      </c>
      <c r="C1067" s="12" t="str">
        <f t="shared" si="16"/>
        <v>Trads1067</v>
      </c>
    </row>
    <row r="1068" spans="1:3">
      <c r="A1068" s="425">
        <v>0</v>
      </c>
      <c r="B1068" s="12">
        <v>1068</v>
      </c>
      <c r="C1068" s="12" t="str">
        <f t="shared" si="16"/>
        <v>Trads1068</v>
      </c>
    </row>
    <row r="1069" spans="1:3">
      <c r="A1069" s="425">
        <v>0</v>
      </c>
      <c r="B1069" s="12">
        <v>1069</v>
      </c>
      <c r="C1069" s="12" t="str">
        <f t="shared" si="16"/>
        <v>Trads1069</v>
      </c>
    </row>
    <row r="1070" spans="1:3">
      <c r="A1070" s="425">
        <v>0</v>
      </c>
      <c r="B1070" s="12">
        <v>1070</v>
      </c>
      <c r="C1070" s="12" t="str">
        <f t="shared" si="16"/>
        <v>Trads1070</v>
      </c>
    </row>
    <row r="1071" spans="1:3">
      <c r="A1071" s="425">
        <v>0</v>
      </c>
      <c r="B1071" s="12">
        <v>1071</v>
      </c>
      <c r="C1071" s="12" t="str">
        <f t="shared" si="16"/>
        <v>Trads1071</v>
      </c>
    </row>
    <row r="1072" spans="1:3">
      <c r="A1072" s="425">
        <v>0</v>
      </c>
      <c r="B1072" s="12">
        <v>1072</v>
      </c>
      <c r="C1072" s="12" t="str">
        <f t="shared" si="16"/>
        <v>Trads1072</v>
      </c>
    </row>
    <row r="1073" spans="1:3">
      <c r="A1073" s="425">
        <v>0</v>
      </c>
      <c r="B1073" s="12">
        <v>1073</v>
      </c>
      <c r="C1073" s="12" t="str">
        <f t="shared" si="16"/>
        <v>Trads1073</v>
      </c>
    </row>
    <row r="1074" spans="1:3">
      <c r="A1074" s="425">
        <v>0</v>
      </c>
      <c r="B1074" s="12">
        <v>1074</v>
      </c>
      <c r="C1074" s="12" t="str">
        <f t="shared" si="16"/>
        <v>Trads1074</v>
      </c>
    </row>
    <row r="1075" spans="1:3">
      <c r="A1075" s="425">
        <v>0</v>
      </c>
      <c r="B1075" s="12">
        <v>1075</v>
      </c>
      <c r="C1075" s="12" t="str">
        <f t="shared" si="16"/>
        <v>Trads1075</v>
      </c>
    </row>
    <row r="1076" spans="1:3">
      <c r="A1076" s="425">
        <v>0</v>
      </c>
      <c r="B1076" s="12">
        <v>1076</v>
      </c>
      <c r="C1076" s="12" t="str">
        <f t="shared" si="16"/>
        <v>Trads1076</v>
      </c>
    </row>
    <row r="1077" spans="1:3">
      <c r="A1077" s="425">
        <v>0</v>
      </c>
      <c r="B1077" s="12">
        <v>1077</v>
      </c>
      <c r="C1077" s="12" t="str">
        <f t="shared" si="16"/>
        <v>Trads1077</v>
      </c>
    </row>
    <row r="1078" spans="1:3">
      <c r="A1078" s="425">
        <v>0</v>
      </c>
      <c r="B1078" s="12">
        <v>1078</v>
      </c>
      <c r="C1078" s="12" t="str">
        <f t="shared" si="16"/>
        <v>Trads1078</v>
      </c>
    </row>
    <row r="1079" spans="1:3">
      <c r="A1079" s="425">
        <v>0</v>
      </c>
      <c r="B1079" s="12">
        <v>1079</v>
      </c>
      <c r="C1079" s="12" t="str">
        <f t="shared" si="16"/>
        <v>Trads1079</v>
      </c>
    </row>
    <row r="1080" spans="1:3">
      <c r="A1080" s="425">
        <v>0</v>
      </c>
      <c r="B1080" s="12">
        <v>1080</v>
      </c>
      <c r="C1080" s="12" t="str">
        <f t="shared" si="16"/>
        <v>Trads1080</v>
      </c>
    </row>
    <row r="1081" spans="1:3">
      <c r="A1081" s="425">
        <v>0</v>
      </c>
      <c r="B1081" s="12">
        <v>1081</v>
      </c>
      <c r="C1081" s="12" t="str">
        <f t="shared" si="16"/>
        <v>Trads1081</v>
      </c>
    </row>
    <row r="1082" spans="1:3">
      <c r="A1082" s="425">
        <v>0</v>
      </c>
      <c r="B1082" s="12">
        <v>1082</v>
      </c>
      <c r="C1082" s="12" t="str">
        <f t="shared" si="16"/>
        <v>Trads1082</v>
      </c>
    </row>
    <row r="1083" spans="1:3">
      <c r="A1083" s="425">
        <v>0</v>
      </c>
      <c r="B1083" s="12">
        <v>1083</v>
      </c>
      <c r="C1083" s="12" t="str">
        <f t="shared" si="16"/>
        <v>Trads1083</v>
      </c>
    </row>
    <row r="1084" spans="1:3">
      <c r="A1084" s="425">
        <v>0</v>
      </c>
      <c r="B1084" s="12">
        <v>1084</v>
      </c>
      <c r="C1084" s="12" t="str">
        <f t="shared" si="16"/>
        <v>Trads1084</v>
      </c>
    </row>
    <row r="1085" spans="1:3">
      <c r="A1085" s="425">
        <v>0</v>
      </c>
      <c r="B1085" s="12">
        <v>1085</v>
      </c>
      <c r="C1085" s="12" t="str">
        <f t="shared" si="16"/>
        <v>Trads1085</v>
      </c>
    </row>
    <row r="1086" spans="1:3">
      <c r="A1086" s="425">
        <v>0</v>
      </c>
      <c r="B1086" s="12">
        <v>1086</v>
      </c>
      <c r="C1086" s="12" t="str">
        <f t="shared" si="16"/>
        <v>Trads1086</v>
      </c>
    </row>
    <row r="1087" spans="1:3">
      <c r="A1087" s="425">
        <v>0</v>
      </c>
      <c r="B1087" s="12">
        <v>1087</v>
      </c>
      <c r="C1087" s="12" t="str">
        <f t="shared" si="16"/>
        <v>Trads1087</v>
      </c>
    </row>
    <row r="1088" spans="1:3">
      <c r="A1088" s="425">
        <v>0</v>
      </c>
      <c r="B1088" s="12">
        <v>1088</v>
      </c>
      <c r="C1088" s="12" t="str">
        <f t="shared" si="16"/>
        <v>Trads1088</v>
      </c>
    </row>
    <row r="1089" spans="1:3">
      <c r="A1089" s="425">
        <v>0</v>
      </c>
      <c r="B1089" s="12">
        <v>1089</v>
      </c>
      <c r="C1089" s="12" t="str">
        <f t="shared" si="16"/>
        <v>Trads1089</v>
      </c>
    </row>
    <row r="1090" spans="1:3">
      <c r="A1090" s="425">
        <v>0</v>
      </c>
      <c r="B1090" s="12">
        <v>1090</v>
      </c>
      <c r="C1090" s="12" t="str">
        <f t="shared" si="16"/>
        <v>Trads1090</v>
      </c>
    </row>
    <row r="1091" spans="1:3">
      <c r="A1091" s="425">
        <v>0</v>
      </c>
      <c r="B1091" s="12">
        <v>1091</v>
      </c>
      <c r="C1091" s="12" t="str">
        <f t="shared" ref="C1091:C1154" si="17">+_xlfn.CONCAT("Trads",B1091)</f>
        <v>Trads1091</v>
      </c>
    </row>
    <row r="1092" spans="1:3">
      <c r="A1092" s="425">
        <v>0</v>
      </c>
      <c r="B1092" s="12">
        <v>1092</v>
      </c>
      <c r="C1092" s="12" t="str">
        <f t="shared" si="17"/>
        <v>Trads1092</v>
      </c>
    </row>
    <row r="1093" spans="1:3">
      <c r="A1093" s="425">
        <v>0</v>
      </c>
      <c r="B1093" s="12">
        <v>1093</v>
      </c>
      <c r="C1093" s="12" t="str">
        <f t="shared" si="17"/>
        <v>Trads1093</v>
      </c>
    </row>
    <row r="1094" spans="1:3">
      <c r="A1094" s="425">
        <v>0</v>
      </c>
      <c r="B1094" s="12">
        <v>1094</v>
      </c>
      <c r="C1094" s="12" t="str">
        <f t="shared" si="17"/>
        <v>Trads1094</v>
      </c>
    </row>
    <row r="1095" spans="1:3">
      <c r="A1095" s="425">
        <v>0</v>
      </c>
      <c r="B1095" s="12">
        <v>1095</v>
      </c>
      <c r="C1095" s="12" t="str">
        <f t="shared" si="17"/>
        <v>Trads1095</v>
      </c>
    </row>
    <row r="1096" spans="1:3">
      <c r="A1096" s="425">
        <v>0</v>
      </c>
      <c r="B1096" s="12">
        <v>1096</v>
      </c>
      <c r="C1096" s="12" t="str">
        <f t="shared" si="17"/>
        <v>Trads1096</v>
      </c>
    </row>
    <row r="1097" spans="1:3">
      <c r="A1097" s="425">
        <v>0</v>
      </c>
      <c r="B1097" s="12">
        <v>1097</v>
      </c>
      <c r="C1097" s="12" t="str">
        <f t="shared" si="17"/>
        <v>Trads1097</v>
      </c>
    </row>
    <row r="1098" spans="1:3">
      <c r="A1098" s="425">
        <v>0</v>
      </c>
      <c r="B1098" s="12">
        <v>1098</v>
      </c>
      <c r="C1098" s="12" t="str">
        <f t="shared" si="17"/>
        <v>Trads1098</v>
      </c>
    </row>
    <row r="1099" spans="1:3">
      <c r="A1099" s="425">
        <v>0</v>
      </c>
      <c r="B1099" s="12">
        <v>1099</v>
      </c>
      <c r="C1099" s="12" t="str">
        <f t="shared" si="17"/>
        <v>Trads1099</v>
      </c>
    </row>
    <row r="1100" spans="1:3">
      <c r="A1100" s="425">
        <v>0</v>
      </c>
      <c r="B1100" s="12">
        <v>1100</v>
      </c>
      <c r="C1100" s="12" t="str">
        <f t="shared" si="17"/>
        <v>Trads1100</v>
      </c>
    </row>
    <row r="1101" spans="1:3">
      <c r="A1101" s="425">
        <v>0</v>
      </c>
      <c r="B1101" s="12">
        <v>1101</v>
      </c>
      <c r="C1101" s="12" t="str">
        <f t="shared" si="17"/>
        <v>Trads1101</v>
      </c>
    </row>
    <row r="1102" spans="1:3">
      <c r="A1102" s="425">
        <v>0</v>
      </c>
      <c r="B1102" s="12">
        <v>1102</v>
      </c>
      <c r="C1102" s="12" t="str">
        <f t="shared" si="17"/>
        <v>Trads1102</v>
      </c>
    </row>
    <row r="1103" spans="1:3">
      <c r="A1103" s="425">
        <v>0</v>
      </c>
      <c r="B1103" s="12">
        <v>1103</v>
      </c>
      <c r="C1103" s="12" t="str">
        <f t="shared" si="17"/>
        <v>Trads1103</v>
      </c>
    </row>
    <row r="1104" spans="1:3">
      <c r="A1104" s="425">
        <v>0</v>
      </c>
      <c r="B1104" s="12">
        <v>1104</v>
      </c>
      <c r="C1104" s="12" t="str">
        <f t="shared" si="17"/>
        <v>Trads1104</v>
      </c>
    </row>
    <row r="1105" spans="1:3">
      <c r="A1105" s="425">
        <v>0</v>
      </c>
      <c r="B1105" s="12">
        <v>1105</v>
      </c>
      <c r="C1105" s="12" t="str">
        <f t="shared" si="17"/>
        <v>Trads1105</v>
      </c>
    </row>
    <row r="1106" spans="1:3">
      <c r="A1106" s="425">
        <v>0</v>
      </c>
      <c r="B1106" s="12">
        <v>1106</v>
      </c>
      <c r="C1106" s="12" t="str">
        <f t="shared" si="17"/>
        <v>Trads1106</v>
      </c>
    </row>
    <row r="1107" spans="1:3">
      <c r="A1107" s="425">
        <v>0</v>
      </c>
      <c r="B1107" s="12">
        <v>1107</v>
      </c>
      <c r="C1107" s="12" t="str">
        <f t="shared" si="17"/>
        <v>Trads1107</v>
      </c>
    </row>
    <row r="1108" spans="1:3">
      <c r="A1108" s="425">
        <v>0</v>
      </c>
      <c r="B1108" s="12">
        <v>1108</v>
      </c>
      <c r="C1108" s="12" t="str">
        <f t="shared" si="17"/>
        <v>Trads1108</v>
      </c>
    </row>
    <row r="1109" spans="1:3">
      <c r="A1109" s="425">
        <v>0</v>
      </c>
      <c r="B1109" s="12">
        <v>1109</v>
      </c>
      <c r="C1109" s="12" t="str">
        <f t="shared" si="17"/>
        <v>Trads1109</v>
      </c>
    </row>
    <row r="1110" spans="1:3">
      <c r="A1110" s="425">
        <v>0</v>
      </c>
      <c r="B1110" s="12">
        <v>1110</v>
      </c>
      <c r="C1110" s="12" t="str">
        <f t="shared" si="17"/>
        <v>Trads1110</v>
      </c>
    </row>
    <row r="1111" spans="1:3">
      <c r="A1111" s="425">
        <v>0</v>
      </c>
      <c r="B1111" s="12">
        <v>1111</v>
      </c>
      <c r="C1111" s="12" t="str">
        <f t="shared" si="17"/>
        <v>Trads1111</v>
      </c>
    </row>
    <row r="1112" spans="1:3">
      <c r="A1112" s="425">
        <v>0</v>
      </c>
      <c r="B1112" s="12">
        <v>1112</v>
      </c>
      <c r="C1112" s="12" t="str">
        <f t="shared" si="17"/>
        <v>Trads1112</v>
      </c>
    </row>
    <row r="1113" spans="1:3">
      <c r="A1113" s="425">
        <v>0</v>
      </c>
      <c r="B1113" s="12">
        <v>1113</v>
      </c>
      <c r="C1113" s="12" t="str">
        <f t="shared" si="17"/>
        <v>Trads1113</v>
      </c>
    </row>
    <row r="1114" spans="1:3">
      <c r="A1114" s="425">
        <v>0</v>
      </c>
      <c r="B1114" s="12">
        <v>1114</v>
      </c>
      <c r="C1114" s="12" t="str">
        <f t="shared" si="17"/>
        <v>Trads1114</v>
      </c>
    </row>
    <row r="1115" spans="1:3">
      <c r="A1115" s="425">
        <v>0</v>
      </c>
      <c r="B1115" s="12">
        <v>1115</v>
      </c>
      <c r="C1115" s="12" t="str">
        <f t="shared" si="17"/>
        <v>Trads1115</v>
      </c>
    </row>
    <row r="1116" spans="1:3">
      <c r="A1116" s="425">
        <v>0</v>
      </c>
      <c r="B1116" s="12">
        <v>1116</v>
      </c>
      <c r="C1116" s="12" t="str">
        <f t="shared" si="17"/>
        <v>Trads1116</v>
      </c>
    </row>
    <row r="1117" spans="1:3">
      <c r="A1117" s="425">
        <v>0</v>
      </c>
      <c r="B1117" s="12">
        <v>1117</v>
      </c>
      <c r="C1117" s="12" t="str">
        <f t="shared" si="17"/>
        <v>Trads1117</v>
      </c>
    </row>
    <row r="1118" spans="1:3">
      <c r="A1118" s="425">
        <v>0</v>
      </c>
      <c r="B1118" s="12">
        <v>1118</v>
      </c>
      <c r="C1118" s="12" t="str">
        <f t="shared" si="17"/>
        <v>Trads1118</v>
      </c>
    </row>
    <row r="1119" spans="1:3">
      <c r="A1119" s="425">
        <v>0</v>
      </c>
      <c r="B1119" s="12">
        <v>1119</v>
      </c>
      <c r="C1119" s="12" t="str">
        <f t="shared" si="17"/>
        <v>Trads1119</v>
      </c>
    </row>
    <row r="1120" spans="1:3">
      <c r="A1120" s="425">
        <v>0</v>
      </c>
      <c r="B1120" s="12">
        <v>1120</v>
      </c>
      <c r="C1120" s="12" t="str">
        <f t="shared" si="17"/>
        <v>Trads1120</v>
      </c>
    </row>
    <row r="1121" spans="1:3">
      <c r="A1121" s="425">
        <v>0</v>
      </c>
      <c r="B1121" s="12">
        <v>1121</v>
      </c>
      <c r="C1121" s="12" t="str">
        <f t="shared" si="17"/>
        <v>Trads1121</v>
      </c>
    </row>
    <row r="1122" spans="1:3">
      <c r="A1122" s="425">
        <v>0</v>
      </c>
      <c r="B1122" s="12">
        <v>1122</v>
      </c>
      <c r="C1122" s="12" t="str">
        <f t="shared" si="17"/>
        <v>Trads1122</v>
      </c>
    </row>
    <row r="1123" spans="1:3">
      <c r="A1123" s="425">
        <v>0</v>
      </c>
      <c r="B1123" s="12">
        <v>1123</v>
      </c>
      <c r="C1123" s="12" t="str">
        <f t="shared" si="17"/>
        <v>Trads1123</v>
      </c>
    </row>
    <row r="1124" spans="1:3">
      <c r="A1124" s="425">
        <v>0</v>
      </c>
      <c r="B1124" s="12">
        <v>1124</v>
      </c>
      <c r="C1124" s="12" t="str">
        <f t="shared" si="17"/>
        <v>Trads1124</v>
      </c>
    </row>
    <row r="1125" spans="1:3">
      <c r="A1125" s="425">
        <v>0</v>
      </c>
      <c r="B1125" s="12">
        <v>1125</v>
      </c>
      <c r="C1125" s="12" t="str">
        <f t="shared" si="17"/>
        <v>Trads1125</v>
      </c>
    </row>
    <row r="1126" spans="1:3">
      <c r="A1126" s="425">
        <v>0</v>
      </c>
      <c r="B1126" s="12">
        <v>1126</v>
      </c>
      <c r="C1126" s="12" t="str">
        <f t="shared" si="17"/>
        <v>Trads1126</v>
      </c>
    </row>
    <row r="1127" spans="1:3">
      <c r="A1127" s="425">
        <v>0</v>
      </c>
      <c r="B1127" s="12">
        <v>1127</v>
      </c>
      <c r="C1127" s="12" t="str">
        <f t="shared" si="17"/>
        <v>Trads1127</v>
      </c>
    </row>
    <row r="1128" spans="1:3">
      <c r="A1128" s="425">
        <v>0</v>
      </c>
      <c r="B1128" s="12">
        <v>1128</v>
      </c>
      <c r="C1128" s="12" t="str">
        <f t="shared" si="17"/>
        <v>Trads1128</v>
      </c>
    </row>
    <row r="1129" spans="1:3">
      <c r="A1129" s="425">
        <v>0</v>
      </c>
      <c r="B1129" s="12">
        <v>1129</v>
      </c>
      <c r="C1129" s="12" t="str">
        <f t="shared" si="17"/>
        <v>Trads1129</v>
      </c>
    </row>
    <row r="1130" spans="1:3">
      <c r="A1130" s="425">
        <v>0</v>
      </c>
      <c r="B1130" s="12">
        <v>1130</v>
      </c>
      <c r="C1130" s="12" t="str">
        <f t="shared" si="17"/>
        <v>Trads1130</v>
      </c>
    </row>
    <row r="1131" spans="1:3">
      <c r="A1131" s="425">
        <v>0</v>
      </c>
      <c r="B1131" s="12">
        <v>1131</v>
      </c>
      <c r="C1131" s="12" t="str">
        <f t="shared" si="17"/>
        <v>Trads1131</v>
      </c>
    </row>
    <row r="1132" spans="1:3">
      <c r="A1132" s="425">
        <v>0</v>
      </c>
      <c r="B1132" s="12">
        <v>1132</v>
      </c>
      <c r="C1132" s="12" t="str">
        <f t="shared" si="17"/>
        <v>Trads1132</v>
      </c>
    </row>
    <row r="1133" spans="1:3">
      <c r="A1133" s="425">
        <v>0</v>
      </c>
      <c r="B1133" s="12">
        <v>1133</v>
      </c>
      <c r="C1133" s="12" t="str">
        <f t="shared" si="17"/>
        <v>Trads1133</v>
      </c>
    </row>
    <row r="1134" spans="1:3">
      <c r="A1134" s="425">
        <v>0</v>
      </c>
      <c r="B1134" s="12">
        <v>1134</v>
      </c>
      <c r="C1134" s="12" t="str">
        <f t="shared" si="17"/>
        <v>Trads1134</v>
      </c>
    </row>
    <row r="1135" spans="1:3">
      <c r="A1135" s="425">
        <v>0</v>
      </c>
      <c r="B1135" s="12">
        <v>1135</v>
      </c>
      <c r="C1135" s="12" t="str">
        <f t="shared" si="17"/>
        <v>Trads1135</v>
      </c>
    </row>
    <row r="1136" spans="1:3">
      <c r="A1136" s="425">
        <v>0</v>
      </c>
      <c r="B1136" s="12">
        <v>1136</v>
      </c>
      <c r="C1136" s="12" t="str">
        <f t="shared" si="17"/>
        <v>Trads1136</v>
      </c>
    </row>
    <row r="1137" spans="1:3">
      <c r="A1137" s="425">
        <v>0</v>
      </c>
      <c r="B1137" s="12">
        <v>1137</v>
      </c>
      <c r="C1137" s="12" t="str">
        <f t="shared" si="17"/>
        <v>Trads1137</v>
      </c>
    </row>
    <row r="1138" spans="1:3">
      <c r="A1138" s="425">
        <v>0</v>
      </c>
      <c r="B1138" s="12">
        <v>1138</v>
      </c>
      <c r="C1138" s="12" t="str">
        <f t="shared" si="17"/>
        <v>Trads1138</v>
      </c>
    </row>
    <row r="1139" spans="1:3">
      <c r="A1139" s="425">
        <v>0</v>
      </c>
      <c r="B1139" s="12">
        <v>1139</v>
      </c>
      <c r="C1139" s="12" t="str">
        <f t="shared" si="17"/>
        <v>Trads1139</v>
      </c>
    </row>
    <row r="1140" spans="1:3">
      <c r="A1140" s="425">
        <v>0</v>
      </c>
      <c r="B1140" s="12">
        <v>1140</v>
      </c>
      <c r="C1140" s="12" t="str">
        <f t="shared" si="17"/>
        <v>Trads1140</v>
      </c>
    </row>
    <row r="1141" spans="1:3">
      <c r="A1141" s="425">
        <v>0</v>
      </c>
      <c r="B1141" s="12">
        <v>1141</v>
      </c>
      <c r="C1141" s="12" t="str">
        <f t="shared" si="17"/>
        <v>Trads1141</v>
      </c>
    </row>
    <row r="1142" spans="1:3">
      <c r="A1142" s="425">
        <v>0</v>
      </c>
      <c r="B1142" s="12">
        <v>1142</v>
      </c>
      <c r="C1142" s="12" t="str">
        <f t="shared" si="17"/>
        <v>Trads1142</v>
      </c>
    </row>
    <row r="1143" spans="1:3">
      <c r="A1143" s="425">
        <v>0</v>
      </c>
      <c r="B1143" s="12">
        <v>1143</v>
      </c>
      <c r="C1143" s="12" t="str">
        <f t="shared" si="17"/>
        <v>Trads1143</v>
      </c>
    </row>
    <row r="1144" spans="1:3">
      <c r="A1144" s="425">
        <v>0</v>
      </c>
      <c r="B1144" s="12">
        <v>1144</v>
      </c>
      <c r="C1144" s="12" t="str">
        <f t="shared" si="17"/>
        <v>Trads1144</v>
      </c>
    </row>
    <row r="1145" spans="1:3">
      <c r="A1145" s="425">
        <v>0</v>
      </c>
      <c r="B1145" s="12">
        <v>1145</v>
      </c>
      <c r="C1145" s="12" t="str">
        <f t="shared" si="17"/>
        <v>Trads1145</v>
      </c>
    </row>
    <row r="1146" spans="1:3">
      <c r="A1146" s="425">
        <v>0</v>
      </c>
      <c r="B1146" s="12">
        <v>1146</v>
      </c>
      <c r="C1146" s="12" t="str">
        <f t="shared" si="17"/>
        <v>Trads1146</v>
      </c>
    </row>
    <row r="1147" spans="1:3">
      <c r="A1147" s="425">
        <v>0</v>
      </c>
      <c r="B1147" s="12">
        <v>1147</v>
      </c>
      <c r="C1147" s="12" t="str">
        <f t="shared" si="17"/>
        <v>Trads1147</v>
      </c>
    </row>
    <row r="1148" spans="1:3">
      <c r="A1148" s="425">
        <v>0</v>
      </c>
      <c r="B1148" s="12">
        <v>1148</v>
      </c>
      <c r="C1148" s="12" t="str">
        <f t="shared" si="17"/>
        <v>Trads1148</v>
      </c>
    </row>
    <row r="1149" spans="1:3">
      <c r="A1149" s="425">
        <v>0</v>
      </c>
      <c r="B1149" s="12">
        <v>1149</v>
      </c>
      <c r="C1149" s="12" t="str">
        <f t="shared" si="17"/>
        <v>Trads1149</v>
      </c>
    </row>
    <row r="1150" spans="1:3">
      <c r="A1150" s="425">
        <v>0</v>
      </c>
      <c r="B1150" s="12">
        <v>1150</v>
      </c>
      <c r="C1150" s="12" t="str">
        <f t="shared" si="17"/>
        <v>Trads1150</v>
      </c>
    </row>
    <row r="1151" spans="1:3">
      <c r="A1151" s="425">
        <v>0</v>
      </c>
      <c r="B1151" s="12">
        <v>1151</v>
      </c>
      <c r="C1151" s="12" t="str">
        <f t="shared" si="17"/>
        <v>Trads1151</v>
      </c>
    </row>
    <row r="1152" spans="1:3">
      <c r="A1152" s="425">
        <v>0</v>
      </c>
      <c r="B1152" s="12">
        <v>1152</v>
      </c>
      <c r="C1152" s="12" t="str">
        <f t="shared" si="17"/>
        <v>Trads1152</v>
      </c>
    </row>
    <row r="1153" spans="1:3">
      <c r="A1153" s="425">
        <v>0</v>
      </c>
      <c r="B1153" s="12">
        <v>1153</v>
      </c>
      <c r="C1153" s="12" t="str">
        <f t="shared" si="17"/>
        <v>Trads1153</v>
      </c>
    </row>
    <row r="1154" spans="1:3">
      <c r="A1154" s="425">
        <v>0</v>
      </c>
      <c r="B1154" s="12">
        <v>1154</v>
      </c>
      <c r="C1154" s="12" t="str">
        <f t="shared" si="17"/>
        <v>Trads1154</v>
      </c>
    </row>
    <row r="1155" spans="1:3">
      <c r="A1155" s="425">
        <v>0</v>
      </c>
      <c r="B1155" s="12">
        <v>1155</v>
      </c>
      <c r="C1155" s="12" t="str">
        <f t="shared" ref="C1155:C1218" si="18">+_xlfn.CONCAT("Trads",B1155)</f>
        <v>Trads1155</v>
      </c>
    </row>
    <row r="1156" spans="1:3">
      <c r="A1156" s="425">
        <v>0</v>
      </c>
      <c r="B1156" s="12">
        <v>1156</v>
      </c>
      <c r="C1156" s="12" t="str">
        <f t="shared" si="18"/>
        <v>Trads1156</v>
      </c>
    </row>
    <row r="1157" spans="1:3">
      <c r="A1157" s="425">
        <v>0</v>
      </c>
      <c r="B1157" s="12">
        <v>1157</v>
      </c>
      <c r="C1157" s="12" t="str">
        <f t="shared" si="18"/>
        <v>Trads1157</v>
      </c>
    </row>
    <row r="1158" spans="1:3">
      <c r="A1158" s="425">
        <v>0</v>
      </c>
      <c r="B1158" s="12">
        <v>1158</v>
      </c>
      <c r="C1158" s="12" t="str">
        <f t="shared" si="18"/>
        <v>Trads1158</v>
      </c>
    </row>
    <row r="1159" spans="1:3">
      <c r="A1159" s="425">
        <v>0</v>
      </c>
      <c r="B1159" s="12">
        <v>1159</v>
      </c>
      <c r="C1159" s="12" t="str">
        <f t="shared" si="18"/>
        <v>Trads1159</v>
      </c>
    </row>
    <row r="1160" spans="1:3">
      <c r="A1160" s="425">
        <v>0</v>
      </c>
      <c r="B1160" s="12">
        <v>1160</v>
      </c>
      <c r="C1160" s="12" t="str">
        <f t="shared" si="18"/>
        <v>Trads1160</v>
      </c>
    </row>
    <row r="1161" spans="1:3">
      <c r="A1161" s="425">
        <v>0</v>
      </c>
      <c r="B1161" s="12">
        <v>1161</v>
      </c>
      <c r="C1161" s="12" t="str">
        <f t="shared" si="18"/>
        <v>Trads1161</v>
      </c>
    </row>
    <row r="1162" spans="1:3">
      <c r="A1162" s="425">
        <v>0</v>
      </c>
      <c r="B1162" s="12">
        <v>1162</v>
      </c>
      <c r="C1162" s="12" t="str">
        <f t="shared" si="18"/>
        <v>Trads1162</v>
      </c>
    </row>
    <row r="1163" spans="1:3">
      <c r="A1163" s="425">
        <v>0</v>
      </c>
      <c r="B1163" s="12">
        <v>1163</v>
      </c>
      <c r="C1163" s="12" t="str">
        <f t="shared" si="18"/>
        <v>Trads1163</v>
      </c>
    </row>
    <row r="1164" spans="1:3">
      <c r="A1164" s="425">
        <v>0</v>
      </c>
      <c r="B1164" s="12">
        <v>1164</v>
      </c>
      <c r="C1164" s="12" t="str">
        <f t="shared" si="18"/>
        <v>Trads1164</v>
      </c>
    </row>
    <row r="1165" spans="1:3">
      <c r="A1165" s="425">
        <v>0</v>
      </c>
      <c r="B1165" s="12">
        <v>1165</v>
      </c>
      <c r="C1165" s="12" t="str">
        <f t="shared" si="18"/>
        <v>Trads1165</v>
      </c>
    </row>
    <row r="1166" spans="1:3">
      <c r="A1166" s="425">
        <v>0</v>
      </c>
      <c r="B1166" s="12">
        <v>1166</v>
      </c>
      <c r="C1166" s="12" t="str">
        <f t="shared" si="18"/>
        <v>Trads1166</v>
      </c>
    </row>
    <row r="1167" spans="1:3">
      <c r="A1167" s="425">
        <v>0</v>
      </c>
      <c r="B1167" s="12">
        <v>1167</v>
      </c>
      <c r="C1167" s="12" t="str">
        <f t="shared" si="18"/>
        <v>Trads1167</v>
      </c>
    </row>
    <row r="1168" spans="1:3">
      <c r="A1168" s="425">
        <v>0</v>
      </c>
      <c r="B1168" s="12">
        <v>1168</v>
      </c>
      <c r="C1168" s="12" t="str">
        <f t="shared" si="18"/>
        <v>Trads1168</v>
      </c>
    </row>
    <row r="1169" spans="1:3">
      <c r="A1169" s="425">
        <v>0</v>
      </c>
      <c r="B1169" s="12">
        <v>1169</v>
      </c>
      <c r="C1169" s="12" t="str">
        <f t="shared" si="18"/>
        <v>Trads1169</v>
      </c>
    </row>
    <row r="1170" spans="1:3">
      <c r="A1170" s="425">
        <v>0</v>
      </c>
      <c r="B1170" s="12">
        <v>1170</v>
      </c>
      <c r="C1170" s="12" t="str">
        <f t="shared" si="18"/>
        <v>Trads1170</v>
      </c>
    </row>
    <row r="1171" spans="1:3">
      <c r="A1171" s="425">
        <v>0</v>
      </c>
      <c r="B1171" s="12">
        <v>1171</v>
      </c>
      <c r="C1171" s="12" t="str">
        <f t="shared" si="18"/>
        <v>Trads1171</v>
      </c>
    </row>
    <row r="1172" spans="1:3">
      <c r="A1172" s="425">
        <v>0</v>
      </c>
      <c r="B1172" s="12">
        <v>1172</v>
      </c>
      <c r="C1172" s="12" t="str">
        <f t="shared" si="18"/>
        <v>Trads1172</v>
      </c>
    </row>
    <row r="1173" spans="1:3">
      <c r="A1173" s="425">
        <v>0</v>
      </c>
      <c r="B1173" s="12">
        <v>1173</v>
      </c>
      <c r="C1173" s="12" t="str">
        <f t="shared" si="18"/>
        <v>Trads1173</v>
      </c>
    </row>
    <row r="1174" spans="1:3">
      <c r="A1174" s="425">
        <v>0</v>
      </c>
      <c r="B1174" s="12">
        <v>1174</v>
      </c>
      <c r="C1174" s="12" t="str">
        <f t="shared" si="18"/>
        <v>Trads1174</v>
      </c>
    </row>
    <row r="1175" spans="1:3">
      <c r="A1175" s="425">
        <v>0</v>
      </c>
      <c r="B1175" s="12">
        <v>1175</v>
      </c>
      <c r="C1175" s="12" t="str">
        <f t="shared" si="18"/>
        <v>Trads1175</v>
      </c>
    </row>
    <row r="1176" spans="1:3">
      <c r="A1176" s="425">
        <v>0</v>
      </c>
      <c r="B1176" s="12">
        <v>1176</v>
      </c>
      <c r="C1176" s="12" t="str">
        <f t="shared" si="18"/>
        <v>Trads1176</v>
      </c>
    </row>
    <row r="1177" spans="1:3">
      <c r="A1177" s="425">
        <v>0</v>
      </c>
      <c r="B1177" s="12">
        <v>1177</v>
      </c>
      <c r="C1177" s="12" t="str">
        <f t="shared" si="18"/>
        <v>Trads1177</v>
      </c>
    </row>
    <row r="1178" spans="1:3">
      <c r="A1178" s="425">
        <v>0</v>
      </c>
      <c r="B1178" s="12">
        <v>1178</v>
      </c>
      <c r="C1178" s="12" t="str">
        <f t="shared" si="18"/>
        <v>Trads1178</v>
      </c>
    </row>
    <row r="1179" spans="1:3">
      <c r="A1179" s="425">
        <v>0</v>
      </c>
      <c r="B1179" s="12">
        <v>1179</v>
      </c>
      <c r="C1179" s="12" t="str">
        <f t="shared" si="18"/>
        <v>Trads1179</v>
      </c>
    </row>
    <row r="1180" spans="1:3">
      <c r="A1180" s="425">
        <v>0</v>
      </c>
      <c r="B1180" s="12">
        <v>1180</v>
      </c>
      <c r="C1180" s="12" t="str">
        <f t="shared" si="18"/>
        <v>Trads1180</v>
      </c>
    </row>
    <row r="1181" spans="1:3">
      <c r="A1181" s="425">
        <v>0</v>
      </c>
      <c r="B1181" s="12">
        <v>1181</v>
      </c>
      <c r="C1181" s="12" t="str">
        <f t="shared" si="18"/>
        <v>Trads1181</v>
      </c>
    </row>
    <row r="1182" spans="1:3">
      <c r="A1182" s="425">
        <v>0</v>
      </c>
      <c r="B1182" s="12">
        <v>1182</v>
      </c>
      <c r="C1182" s="12" t="str">
        <f t="shared" si="18"/>
        <v>Trads1182</v>
      </c>
    </row>
    <row r="1183" spans="1:3">
      <c r="A1183" s="425">
        <v>0</v>
      </c>
      <c r="B1183" s="12">
        <v>1183</v>
      </c>
      <c r="C1183" s="12" t="str">
        <f t="shared" si="18"/>
        <v>Trads1183</v>
      </c>
    </row>
    <row r="1184" spans="1:3">
      <c r="A1184" s="425">
        <v>0</v>
      </c>
      <c r="B1184" s="12">
        <v>1184</v>
      </c>
      <c r="C1184" s="12" t="str">
        <f t="shared" si="18"/>
        <v>Trads1184</v>
      </c>
    </row>
    <row r="1185" spans="1:3">
      <c r="A1185" s="425">
        <v>0</v>
      </c>
      <c r="B1185" s="12">
        <v>1185</v>
      </c>
      <c r="C1185" s="12" t="str">
        <f t="shared" si="18"/>
        <v>Trads1185</v>
      </c>
    </row>
    <row r="1186" spans="1:3">
      <c r="A1186" s="425">
        <v>0</v>
      </c>
      <c r="B1186" s="12">
        <v>1186</v>
      </c>
      <c r="C1186" s="12" t="str">
        <f t="shared" si="18"/>
        <v>Trads1186</v>
      </c>
    </row>
    <row r="1187" spans="1:3">
      <c r="A1187" s="425">
        <v>0</v>
      </c>
      <c r="B1187" s="12">
        <v>1187</v>
      </c>
      <c r="C1187" s="12" t="str">
        <f t="shared" si="18"/>
        <v>Trads1187</v>
      </c>
    </row>
    <row r="1188" spans="1:3">
      <c r="A1188" s="425">
        <v>0</v>
      </c>
      <c r="B1188" s="12">
        <v>1188</v>
      </c>
      <c r="C1188" s="12" t="str">
        <f t="shared" si="18"/>
        <v>Trads1188</v>
      </c>
    </row>
    <row r="1189" spans="1:3">
      <c r="A1189" s="425">
        <v>0</v>
      </c>
      <c r="B1189" s="12">
        <v>1189</v>
      </c>
      <c r="C1189" s="12" t="str">
        <f t="shared" si="18"/>
        <v>Trads1189</v>
      </c>
    </row>
    <row r="1190" spans="1:3">
      <c r="A1190" s="425">
        <v>0</v>
      </c>
      <c r="B1190" s="12">
        <v>1190</v>
      </c>
      <c r="C1190" s="12" t="str">
        <f t="shared" si="18"/>
        <v>Trads1190</v>
      </c>
    </row>
    <row r="1191" spans="1:3">
      <c r="A1191" s="425">
        <v>0</v>
      </c>
      <c r="B1191" s="12">
        <v>1191</v>
      </c>
      <c r="C1191" s="12" t="str">
        <f t="shared" si="18"/>
        <v>Trads1191</v>
      </c>
    </row>
    <row r="1192" spans="1:3">
      <c r="A1192" s="425">
        <v>0</v>
      </c>
      <c r="B1192" s="12">
        <v>1192</v>
      </c>
      <c r="C1192" s="12" t="str">
        <f t="shared" si="18"/>
        <v>Trads1192</v>
      </c>
    </row>
    <row r="1193" spans="1:3">
      <c r="A1193" s="425">
        <v>0</v>
      </c>
      <c r="B1193" s="12">
        <v>1193</v>
      </c>
      <c r="C1193" s="12" t="str">
        <f t="shared" si="18"/>
        <v>Trads1193</v>
      </c>
    </row>
    <row r="1194" spans="1:3">
      <c r="A1194" s="425">
        <v>0</v>
      </c>
      <c r="B1194" s="12">
        <v>1194</v>
      </c>
      <c r="C1194" s="12" t="str">
        <f t="shared" si="18"/>
        <v>Trads1194</v>
      </c>
    </row>
    <row r="1195" spans="1:3">
      <c r="A1195" s="425">
        <v>0</v>
      </c>
      <c r="B1195" s="12">
        <v>1195</v>
      </c>
      <c r="C1195" s="12" t="str">
        <f t="shared" si="18"/>
        <v>Trads1195</v>
      </c>
    </row>
    <row r="1196" spans="1:3">
      <c r="A1196" s="425">
        <v>0</v>
      </c>
      <c r="B1196" s="12">
        <v>1196</v>
      </c>
      <c r="C1196" s="12" t="str">
        <f t="shared" si="18"/>
        <v>Trads1196</v>
      </c>
    </row>
    <row r="1197" spans="1:3">
      <c r="A1197" s="425">
        <v>0</v>
      </c>
      <c r="B1197" s="12">
        <v>1197</v>
      </c>
      <c r="C1197" s="12" t="str">
        <f t="shared" si="18"/>
        <v>Trads1197</v>
      </c>
    </row>
    <row r="1198" spans="1:3">
      <c r="A1198" s="425">
        <v>0</v>
      </c>
      <c r="B1198" s="12">
        <v>1198</v>
      </c>
      <c r="C1198" s="12" t="str">
        <f t="shared" si="18"/>
        <v>Trads1198</v>
      </c>
    </row>
    <row r="1199" spans="1:3">
      <c r="A1199" s="425">
        <v>0</v>
      </c>
      <c r="B1199" s="12">
        <v>1199</v>
      </c>
      <c r="C1199" s="12" t="str">
        <f t="shared" si="18"/>
        <v>Trads1199</v>
      </c>
    </row>
    <row r="1200" spans="1:3">
      <c r="A1200" s="425">
        <v>0</v>
      </c>
      <c r="B1200" s="12">
        <v>1200</v>
      </c>
      <c r="C1200" s="12" t="str">
        <f t="shared" si="18"/>
        <v>Trads1200</v>
      </c>
    </row>
    <row r="1201" spans="1:3">
      <c r="A1201" s="425">
        <v>0</v>
      </c>
      <c r="B1201" s="12">
        <v>1201</v>
      </c>
      <c r="C1201" s="12" t="str">
        <f t="shared" si="18"/>
        <v>Trads1201</v>
      </c>
    </row>
    <row r="1202" spans="1:3">
      <c r="A1202" s="425">
        <v>0</v>
      </c>
      <c r="B1202" s="12">
        <v>1202</v>
      </c>
      <c r="C1202" s="12" t="str">
        <f t="shared" si="18"/>
        <v>Trads1202</v>
      </c>
    </row>
    <row r="1203" spans="1:3">
      <c r="A1203" s="425">
        <v>0</v>
      </c>
      <c r="B1203" s="12">
        <v>1203</v>
      </c>
      <c r="C1203" s="12" t="str">
        <f t="shared" si="18"/>
        <v>Trads1203</v>
      </c>
    </row>
    <row r="1204" spans="1:3">
      <c r="A1204" s="425">
        <v>0</v>
      </c>
      <c r="B1204" s="12">
        <v>1204</v>
      </c>
      <c r="C1204" s="12" t="str">
        <f t="shared" si="18"/>
        <v>Trads1204</v>
      </c>
    </row>
    <row r="1205" spans="1:3">
      <c r="A1205" s="425">
        <v>0</v>
      </c>
      <c r="B1205" s="12">
        <v>1205</v>
      </c>
      <c r="C1205" s="12" t="str">
        <f t="shared" si="18"/>
        <v>Trads1205</v>
      </c>
    </row>
    <row r="1206" spans="1:3">
      <c r="A1206" s="425">
        <v>0</v>
      </c>
      <c r="B1206" s="12">
        <v>1206</v>
      </c>
      <c r="C1206" s="12" t="str">
        <f t="shared" si="18"/>
        <v>Trads1206</v>
      </c>
    </row>
    <row r="1207" spans="1:3">
      <c r="A1207" s="425">
        <v>0</v>
      </c>
      <c r="B1207" s="12">
        <v>1207</v>
      </c>
      <c r="C1207" s="12" t="str">
        <f t="shared" si="18"/>
        <v>Trads1207</v>
      </c>
    </row>
    <row r="1208" spans="1:3">
      <c r="A1208" s="425">
        <v>0</v>
      </c>
      <c r="B1208" s="12">
        <v>1208</v>
      </c>
      <c r="C1208" s="12" t="str">
        <f t="shared" si="18"/>
        <v>Trads1208</v>
      </c>
    </row>
    <row r="1209" spans="1:3">
      <c r="A1209" s="425">
        <v>0</v>
      </c>
      <c r="B1209" s="12">
        <v>1209</v>
      </c>
      <c r="C1209" s="12" t="str">
        <f t="shared" si="18"/>
        <v>Trads1209</v>
      </c>
    </row>
    <row r="1210" spans="1:3">
      <c r="A1210" s="425">
        <v>0</v>
      </c>
      <c r="B1210" s="12">
        <v>1210</v>
      </c>
      <c r="C1210" s="12" t="str">
        <f t="shared" si="18"/>
        <v>Trads1210</v>
      </c>
    </row>
    <row r="1211" spans="1:3">
      <c r="A1211" s="425">
        <v>0</v>
      </c>
      <c r="B1211" s="12">
        <v>1211</v>
      </c>
      <c r="C1211" s="12" t="str">
        <f t="shared" si="18"/>
        <v>Trads1211</v>
      </c>
    </row>
    <row r="1212" spans="1:3">
      <c r="A1212" s="425">
        <v>0</v>
      </c>
      <c r="B1212" s="12">
        <v>1212</v>
      </c>
      <c r="C1212" s="12" t="str">
        <f t="shared" si="18"/>
        <v>Trads1212</v>
      </c>
    </row>
    <row r="1213" spans="1:3">
      <c r="A1213" s="425">
        <v>0</v>
      </c>
      <c r="B1213" s="12">
        <v>1213</v>
      </c>
      <c r="C1213" s="12" t="str">
        <f t="shared" si="18"/>
        <v>Trads1213</v>
      </c>
    </row>
    <row r="1214" spans="1:3">
      <c r="A1214" s="425">
        <v>0</v>
      </c>
      <c r="B1214" s="12">
        <v>1214</v>
      </c>
      <c r="C1214" s="12" t="str">
        <f t="shared" si="18"/>
        <v>Trads1214</v>
      </c>
    </row>
    <row r="1215" spans="1:3">
      <c r="A1215" s="425">
        <v>0</v>
      </c>
      <c r="B1215" s="12">
        <v>1215</v>
      </c>
      <c r="C1215" s="12" t="str">
        <f t="shared" si="18"/>
        <v>Trads1215</v>
      </c>
    </row>
    <row r="1216" spans="1:3">
      <c r="A1216" s="425">
        <v>0</v>
      </c>
      <c r="B1216" s="12">
        <v>1216</v>
      </c>
      <c r="C1216" s="12" t="str">
        <f t="shared" si="18"/>
        <v>Trads1216</v>
      </c>
    </row>
    <row r="1217" spans="1:3">
      <c r="A1217" s="425">
        <v>0</v>
      </c>
      <c r="B1217" s="12">
        <v>1217</v>
      </c>
      <c r="C1217" s="12" t="str">
        <f t="shared" si="18"/>
        <v>Trads1217</v>
      </c>
    </row>
    <row r="1218" spans="1:3">
      <c r="A1218" s="425">
        <v>0</v>
      </c>
      <c r="B1218" s="12">
        <v>1218</v>
      </c>
      <c r="C1218" s="12" t="str">
        <f t="shared" si="18"/>
        <v>Trads1218</v>
      </c>
    </row>
    <row r="1219" spans="1:3">
      <c r="A1219" s="425">
        <v>0</v>
      </c>
      <c r="B1219" s="12">
        <v>1219</v>
      </c>
      <c r="C1219" s="12" t="str">
        <f t="shared" ref="C1219:C1282" si="19">+_xlfn.CONCAT("Trads",B1219)</f>
        <v>Trads1219</v>
      </c>
    </row>
    <row r="1220" spans="1:3">
      <c r="A1220" s="425">
        <v>0</v>
      </c>
      <c r="B1220" s="12">
        <v>1220</v>
      </c>
      <c r="C1220" s="12" t="str">
        <f t="shared" si="19"/>
        <v>Trads1220</v>
      </c>
    </row>
    <row r="1221" spans="1:3">
      <c r="A1221" s="425">
        <v>0</v>
      </c>
      <c r="B1221" s="12">
        <v>1221</v>
      </c>
      <c r="C1221" s="12" t="str">
        <f t="shared" si="19"/>
        <v>Trads1221</v>
      </c>
    </row>
    <row r="1222" spans="1:3">
      <c r="A1222" s="425">
        <v>0</v>
      </c>
      <c r="B1222" s="12">
        <v>1222</v>
      </c>
      <c r="C1222" s="12" t="str">
        <f t="shared" si="19"/>
        <v>Trads1222</v>
      </c>
    </row>
    <row r="1223" spans="1:3">
      <c r="A1223" s="425">
        <v>0</v>
      </c>
      <c r="B1223" s="12">
        <v>1223</v>
      </c>
      <c r="C1223" s="12" t="str">
        <f t="shared" si="19"/>
        <v>Trads1223</v>
      </c>
    </row>
    <row r="1224" spans="1:3">
      <c r="A1224" s="425">
        <v>0</v>
      </c>
      <c r="B1224" s="12">
        <v>1224</v>
      </c>
      <c r="C1224" s="12" t="str">
        <f t="shared" si="19"/>
        <v>Trads1224</v>
      </c>
    </row>
    <row r="1225" spans="1:3">
      <c r="A1225" s="425">
        <v>0</v>
      </c>
      <c r="B1225" s="12">
        <v>1225</v>
      </c>
      <c r="C1225" s="12" t="str">
        <f t="shared" si="19"/>
        <v>Trads1225</v>
      </c>
    </row>
    <row r="1226" spans="1:3">
      <c r="A1226" s="425">
        <v>0</v>
      </c>
      <c r="B1226" s="12">
        <v>1226</v>
      </c>
      <c r="C1226" s="12" t="str">
        <f t="shared" si="19"/>
        <v>Trads1226</v>
      </c>
    </row>
    <row r="1227" spans="1:3">
      <c r="A1227" s="425">
        <v>0</v>
      </c>
      <c r="B1227" s="12">
        <v>1227</v>
      </c>
      <c r="C1227" s="12" t="str">
        <f t="shared" si="19"/>
        <v>Trads1227</v>
      </c>
    </row>
    <row r="1228" spans="1:3">
      <c r="A1228" s="425">
        <v>0</v>
      </c>
      <c r="B1228" s="12">
        <v>1228</v>
      </c>
      <c r="C1228" s="12" t="str">
        <f t="shared" si="19"/>
        <v>Trads1228</v>
      </c>
    </row>
    <row r="1229" spans="1:3">
      <c r="A1229" s="425">
        <v>0</v>
      </c>
      <c r="B1229" s="12">
        <v>1229</v>
      </c>
      <c r="C1229" s="12" t="str">
        <f t="shared" si="19"/>
        <v>Trads1229</v>
      </c>
    </row>
    <row r="1230" spans="1:3">
      <c r="A1230" s="425">
        <v>0</v>
      </c>
      <c r="B1230" s="12">
        <v>1230</v>
      </c>
      <c r="C1230" s="12" t="str">
        <f t="shared" si="19"/>
        <v>Trads1230</v>
      </c>
    </row>
    <row r="1231" spans="1:3">
      <c r="A1231" s="425">
        <v>0</v>
      </c>
      <c r="B1231" s="12">
        <v>1231</v>
      </c>
      <c r="C1231" s="12" t="str">
        <f t="shared" si="19"/>
        <v>Trads1231</v>
      </c>
    </row>
    <row r="1232" spans="1:3">
      <c r="A1232" s="425">
        <v>0</v>
      </c>
      <c r="B1232" s="12">
        <v>1232</v>
      </c>
      <c r="C1232" s="12" t="str">
        <f t="shared" si="19"/>
        <v>Trads1232</v>
      </c>
    </row>
    <row r="1233" spans="1:3">
      <c r="A1233" s="425">
        <v>0</v>
      </c>
      <c r="B1233" s="12">
        <v>1233</v>
      </c>
      <c r="C1233" s="12" t="str">
        <f t="shared" si="19"/>
        <v>Trads1233</v>
      </c>
    </row>
    <row r="1234" spans="1:3">
      <c r="A1234" s="425">
        <v>0</v>
      </c>
      <c r="B1234" s="12">
        <v>1234</v>
      </c>
      <c r="C1234" s="12" t="str">
        <f t="shared" si="19"/>
        <v>Trads1234</v>
      </c>
    </row>
    <row r="1235" spans="1:3">
      <c r="A1235" s="425">
        <v>0</v>
      </c>
      <c r="B1235" s="12">
        <v>1235</v>
      </c>
      <c r="C1235" s="12" t="str">
        <f t="shared" si="19"/>
        <v>Trads1235</v>
      </c>
    </row>
    <row r="1236" spans="1:3">
      <c r="A1236" s="425">
        <v>0</v>
      </c>
      <c r="B1236" s="12">
        <v>1236</v>
      </c>
      <c r="C1236" s="12" t="str">
        <f t="shared" si="19"/>
        <v>Trads1236</v>
      </c>
    </row>
    <row r="1237" spans="1:3">
      <c r="A1237" s="425">
        <v>0</v>
      </c>
      <c r="B1237" s="12">
        <v>1237</v>
      </c>
      <c r="C1237" s="12" t="str">
        <f t="shared" si="19"/>
        <v>Trads1237</v>
      </c>
    </row>
    <row r="1238" spans="1:3">
      <c r="A1238" s="425">
        <v>0</v>
      </c>
      <c r="B1238" s="12">
        <v>1238</v>
      </c>
      <c r="C1238" s="12" t="str">
        <f t="shared" si="19"/>
        <v>Trads1238</v>
      </c>
    </row>
    <row r="1239" spans="1:3">
      <c r="A1239" s="425">
        <v>0</v>
      </c>
      <c r="B1239" s="12">
        <v>1239</v>
      </c>
      <c r="C1239" s="12" t="str">
        <f t="shared" si="19"/>
        <v>Trads1239</v>
      </c>
    </row>
    <row r="1240" spans="1:3">
      <c r="A1240" s="425">
        <v>0</v>
      </c>
      <c r="B1240" s="12">
        <v>1240</v>
      </c>
      <c r="C1240" s="12" t="str">
        <f t="shared" si="19"/>
        <v>Trads1240</v>
      </c>
    </row>
    <row r="1241" spans="1:3">
      <c r="A1241" s="425">
        <v>0</v>
      </c>
      <c r="B1241" s="12">
        <v>1241</v>
      </c>
      <c r="C1241" s="12" t="str">
        <f t="shared" si="19"/>
        <v>Trads1241</v>
      </c>
    </row>
    <row r="1242" spans="1:3">
      <c r="A1242" s="425">
        <v>0</v>
      </c>
      <c r="B1242" s="12">
        <v>1242</v>
      </c>
      <c r="C1242" s="12" t="str">
        <f t="shared" si="19"/>
        <v>Trads1242</v>
      </c>
    </row>
    <row r="1243" spans="1:3">
      <c r="A1243" s="425">
        <v>0</v>
      </c>
      <c r="B1243" s="12">
        <v>1243</v>
      </c>
      <c r="C1243" s="12" t="str">
        <f t="shared" si="19"/>
        <v>Trads1243</v>
      </c>
    </row>
    <row r="1244" spans="1:3">
      <c r="A1244" s="425">
        <v>0</v>
      </c>
      <c r="B1244" s="12">
        <v>1244</v>
      </c>
      <c r="C1244" s="12" t="str">
        <f t="shared" si="19"/>
        <v>Trads1244</v>
      </c>
    </row>
    <row r="1245" spans="1:3">
      <c r="A1245" s="425">
        <v>0</v>
      </c>
      <c r="B1245" s="12">
        <v>1245</v>
      </c>
      <c r="C1245" s="12" t="str">
        <f t="shared" si="19"/>
        <v>Trads1245</v>
      </c>
    </row>
    <row r="1246" spans="1:3">
      <c r="A1246" s="425">
        <v>0</v>
      </c>
      <c r="B1246" s="12">
        <v>1246</v>
      </c>
      <c r="C1246" s="12" t="str">
        <f t="shared" si="19"/>
        <v>Trads1246</v>
      </c>
    </row>
    <row r="1247" spans="1:3">
      <c r="A1247" s="425">
        <v>0</v>
      </c>
      <c r="B1247" s="12">
        <v>1247</v>
      </c>
      <c r="C1247" s="12" t="str">
        <f t="shared" si="19"/>
        <v>Trads1247</v>
      </c>
    </row>
    <row r="1248" spans="1:3">
      <c r="A1248" s="425">
        <v>0</v>
      </c>
      <c r="B1248" s="12">
        <v>1248</v>
      </c>
      <c r="C1248" s="12" t="str">
        <f t="shared" si="19"/>
        <v>Trads1248</v>
      </c>
    </row>
    <row r="1249" spans="1:3">
      <c r="A1249" s="425">
        <v>0</v>
      </c>
      <c r="B1249" s="12">
        <v>1249</v>
      </c>
      <c r="C1249" s="12" t="str">
        <f t="shared" si="19"/>
        <v>Trads1249</v>
      </c>
    </row>
    <row r="1250" spans="1:3">
      <c r="A1250" s="425">
        <v>0</v>
      </c>
      <c r="B1250" s="12">
        <v>1250</v>
      </c>
      <c r="C1250" s="12" t="str">
        <f t="shared" si="19"/>
        <v>Trads1250</v>
      </c>
    </row>
    <row r="1251" spans="1:3">
      <c r="A1251" s="425">
        <v>0</v>
      </c>
      <c r="B1251" s="12">
        <v>1251</v>
      </c>
      <c r="C1251" s="12" t="str">
        <f t="shared" si="19"/>
        <v>Trads1251</v>
      </c>
    </row>
    <row r="1252" spans="1:3">
      <c r="A1252" s="425">
        <v>0</v>
      </c>
      <c r="B1252" s="12">
        <v>1252</v>
      </c>
      <c r="C1252" s="12" t="str">
        <f t="shared" si="19"/>
        <v>Trads1252</v>
      </c>
    </row>
    <row r="1253" spans="1:3">
      <c r="A1253" s="425">
        <v>0</v>
      </c>
      <c r="B1253" s="12">
        <v>1253</v>
      </c>
      <c r="C1253" s="12" t="str">
        <f t="shared" si="19"/>
        <v>Trads1253</v>
      </c>
    </row>
    <row r="1254" spans="1:3">
      <c r="A1254" s="425">
        <v>0</v>
      </c>
      <c r="B1254" s="12">
        <v>1254</v>
      </c>
      <c r="C1254" s="12" t="str">
        <f t="shared" si="19"/>
        <v>Trads1254</v>
      </c>
    </row>
    <row r="1255" spans="1:3">
      <c r="A1255" s="425">
        <v>0</v>
      </c>
      <c r="B1255" s="12">
        <v>1255</v>
      </c>
      <c r="C1255" s="12" t="str">
        <f t="shared" si="19"/>
        <v>Trads1255</v>
      </c>
    </row>
    <row r="1256" spans="1:3">
      <c r="A1256" s="425">
        <v>0</v>
      </c>
      <c r="B1256" s="12">
        <v>1256</v>
      </c>
      <c r="C1256" s="12" t="str">
        <f t="shared" si="19"/>
        <v>Trads1256</v>
      </c>
    </row>
    <row r="1257" spans="1:3">
      <c r="A1257" s="425">
        <v>0</v>
      </c>
      <c r="B1257" s="12">
        <v>1257</v>
      </c>
      <c r="C1257" s="12" t="str">
        <f t="shared" si="19"/>
        <v>Trads1257</v>
      </c>
    </row>
    <row r="1258" spans="1:3">
      <c r="A1258" s="425">
        <v>0</v>
      </c>
      <c r="B1258" s="12">
        <v>1258</v>
      </c>
      <c r="C1258" s="12" t="str">
        <f t="shared" si="19"/>
        <v>Trads1258</v>
      </c>
    </row>
    <row r="1259" spans="1:3">
      <c r="A1259" s="425">
        <v>0</v>
      </c>
      <c r="B1259" s="12">
        <v>1259</v>
      </c>
      <c r="C1259" s="12" t="str">
        <f t="shared" si="19"/>
        <v>Trads1259</v>
      </c>
    </row>
    <row r="1260" spans="1:3">
      <c r="A1260" s="425">
        <v>0</v>
      </c>
      <c r="B1260" s="12">
        <v>1260</v>
      </c>
      <c r="C1260" s="12" t="str">
        <f t="shared" si="19"/>
        <v>Trads1260</v>
      </c>
    </row>
    <row r="1261" spans="1:3">
      <c r="A1261" s="425">
        <v>0</v>
      </c>
      <c r="B1261" s="12">
        <v>1261</v>
      </c>
      <c r="C1261" s="12" t="str">
        <f t="shared" si="19"/>
        <v>Trads1261</v>
      </c>
    </row>
    <row r="1262" spans="1:3">
      <c r="A1262" s="425">
        <v>0</v>
      </c>
      <c r="B1262" s="12">
        <v>1262</v>
      </c>
      <c r="C1262" s="12" t="str">
        <f t="shared" si="19"/>
        <v>Trads1262</v>
      </c>
    </row>
    <row r="1263" spans="1:3">
      <c r="A1263" s="425">
        <v>0</v>
      </c>
      <c r="B1263" s="12">
        <v>1263</v>
      </c>
      <c r="C1263" s="12" t="str">
        <f t="shared" si="19"/>
        <v>Trads1263</v>
      </c>
    </row>
    <row r="1264" spans="1:3">
      <c r="A1264" s="425">
        <v>0</v>
      </c>
      <c r="B1264" s="12">
        <v>1264</v>
      </c>
      <c r="C1264" s="12" t="str">
        <f t="shared" si="19"/>
        <v>Trads1264</v>
      </c>
    </row>
    <row r="1265" spans="1:3">
      <c r="A1265" s="425">
        <v>0</v>
      </c>
      <c r="B1265" s="12">
        <v>1265</v>
      </c>
      <c r="C1265" s="12" t="str">
        <f t="shared" si="19"/>
        <v>Trads1265</v>
      </c>
    </row>
    <row r="1266" spans="1:3">
      <c r="A1266" s="425">
        <v>0</v>
      </c>
      <c r="B1266" s="12">
        <v>1266</v>
      </c>
      <c r="C1266" s="12" t="str">
        <f t="shared" si="19"/>
        <v>Trads1266</v>
      </c>
    </row>
    <row r="1267" spans="1:3">
      <c r="A1267" s="425">
        <v>0</v>
      </c>
      <c r="B1267" s="12">
        <v>1267</v>
      </c>
      <c r="C1267" s="12" t="str">
        <f t="shared" si="19"/>
        <v>Trads1267</v>
      </c>
    </row>
    <row r="1268" spans="1:3">
      <c r="A1268" s="425">
        <v>0</v>
      </c>
      <c r="B1268" s="12">
        <v>1268</v>
      </c>
      <c r="C1268" s="12" t="str">
        <f t="shared" si="19"/>
        <v>Trads1268</v>
      </c>
    </row>
    <row r="1269" spans="1:3">
      <c r="A1269" s="425">
        <v>0</v>
      </c>
      <c r="B1269" s="12">
        <v>1269</v>
      </c>
      <c r="C1269" s="12" t="str">
        <f t="shared" si="19"/>
        <v>Trads1269</v>
      </c>
    </row>
    <row r="1270" spans="1:3">
      <c r="A1270" s="425">
        <v>0</v>
      </c>
      <c r="B1270" s="12">
        <v>1270</v>
      </c>
      <c r="C1270" s="12" t="str">
        <f t="shared" si="19"/>
        <v>Trads1270</v>
      </c>
    </row>
    <row r="1271" spans="1:3">
      <c r="A1271" s="425">
        <v>0</v>
      </c>
      <c r="B1271" s="12">
        <v>1271</v>
      </c>
      <c r="C1271" s="12" t="str">
        <f t="shared" si="19"/>
        <v>Trads1271</v>
      </c>
    </row>
    <row r="1272" spans="1:3">
      <c r="A1272" s="425">
        <v>0</v>
      </c>
      <c r="B1272" s="12">
        <v>1272</v>
      </c>
      <c r="C1272" s="12" t="str">
        <f t="shared" si="19"/>
        <v>Trads1272</v>
      </c>
    </row>
    <row r="1273" spans="1:3">
      <c r="A1273" s="425">
        <v>0</v>
      </c>
      <c r="B1273" s="12">
        <v>1273</v>
      </c>
      <c r="C1273" s="12" t="str">
        <f t="shared" si="19"/>
        <v>Trads1273</v>
      </c>
    </row>
    <row r="1274" spans="1:3">
      <c r="A1274" s="425">
        <v>0</v>
      </c>
      <c r="B1274" s="12">
        <v>1274</v>
      </c>
      <c r="C1274" s="12" t="str">
        <f t="shared" si="19"/>
        <v>Trads1274</v>
      </c>
    </row>
    <row r="1275" spans="1:3">
      <c r="A1275" s="425">
        <v>0</v>
      </c>
      <c r="B1275" s="12">
        <v>1275</v>
      </c>
      <c r="C1275" s="12" t="str">
        <f t="shared" si="19"/>
        <v>Trads1275</v>
      </c>
    </row>
    <row r="1276" spans="1:3">
      <c r="A1276" s="425">
        <v>0</v>
      </c>
      <c r="B1276" s="12">
        <v>1276</v>
      </c>
      <c r="C1276" s="12" t="str">
        <f t="shared" si="19"/>
        <v>Trads1276</v>
      </c>
    </row>
    <row r="1277" spans="1:3">
      <c r="A1277" s="425">
        <v>0</v>
      </c>
      <c r="B1277" s="12">
        <v>1277</v>
      </c>
      <c r="C1277" s="12" t="str">
        <f t="shared" si="19"/>
        <v>Trads1277</v>
      </c>
    </row>
    <row r="1278" spans="1:3">
      <c r="A1278" s="425">
        <v>0</v>
      </c>
      <c r="B1278" s="12">
        <v>1278</v>
      </c>
      <c r="C1278" s="12" t="str">
        <f t="shared" si="19"/>
        <v>Trads1278</v>
      </c>
    </row>
    <row r="1279" spans="1:3">
      <c r="A1279" s="425">
        <v>0</v>
      </c>
      <c r="B1279" s="12">
        <v>1279</v>
      </c>
      <c r="C1279" s="12" t="str">
        <f t="shared" si="19"/>
        <v>Trads1279</v>
      </c>
    </row>
    <row r="1280" spans="1:3">
      <c r="A1280" s="425">
        <v>0</v>
      </c>
      <c r="B1280" s="12">
        <v>1280</v>
      </c>
      <c r="C1280" s="12" t="str">
        <f t="shared" si="19"/>
        <v>Trads1280</v>
      </c>
    </row>
    <row r="1281" spans="1:3">
      <c r="A1281" s="425">
        <v>0</v>
      </c>
      <c r="B1281" s="12">
        <v>1281</v>
      </c>
      <c r="C1281" s="12" t="str">
        <f t="shared" si="19"/>
        <v>Trads1281</v>
      </c>
    </row>
    <row r="1282" spans="1:3">
      <c r="A1282" s="425">
        <v>0</v>
      </c>
      <c r="B1282" s="12">
        <v>1282</v>
      </c>
      <c r="C1282" s="12" t="str">
        <f t="shared" si="19"/>
        <v>Trads1282</v>
      </c>
    </row>
    <row r="1283" spans="1:3">
      <c r="A1283" s="425">
        <v>0</v>
      </c>
      <c r="B1283" s="12">
        <v>1283</v>
      </c>
      <c r="C1283" s="12" t="str">
        <f t="shared" ref="C1283:C1346" si="20">+_xlfn.CONCAT("Trads",B1283)</f>
        <v>Trads1283</v>
      </c>
    </row>
    <row r="1284" spans="1:3">
      <c r="A1284" s="425">
        <v>0</v>
      </c>
      <c r="B1284" s="12">
        <v>1284</v>
      </c>
      <c r="C1284" s="12" t="str">
        <f t="shared" si="20"/>
        <v>Trads1284</v>
      </c>
    </row>
    <row r="1285" spans="1:3">
      <c r="A1285" s="425">
        <v>0</v>
      </c>
      <c r="B1285" s="12">
        <v>1285</v>
      </c>
      <c r="C1285" s="12" t="str">
        <f t="shared" si="20"/>
        <v>Trads1285</v>
      </c>
    </row>
    <row r="1286" spans="1:3">
      <c r="A1286" s="425">
        <v>0</v>
      </c>
      <c r="B1286" s="12">
        <v>1286</v>
      </c>
      <c r="C1286" s="12" t="str">
        <f t="shared" si="20"/>
        <v>Trads1286</v>
      </c>
    </row>
    <row r="1287" spans="1:3">
      <c r="A1287" s="425">
        <v>0</v>
      </c>
      <c r="B1287" s="12">
        <v>1287</v>
      </c>
      <c r="C1287" s="12" t="str">
        <f t="shared" si="20"/>
        <v>Trads1287</v>
      </c>
    </row>
    <row r="1288" spans="1:3">
      <c r="A1288" s="425">
        <v>0</v>
      </c>
      <c r="B1288" s="12">
        <v>1288</v>
      </c>
      <c r="C1288" s="12" t="str">
        <f t="shared" si="20"/>
        <v>Trads1288</v>
      </c>
    </row>
    <row r="1289" spans="1:3">
      <c r="A1289" s="425">
        <v>0</v>
      </c>
      <c r="B1289" s="12">
        <v>1289</v>
      </c>
      <c r="C1289" s="12" t="str">
        <f t="shared" si="20"/>
        <v>Trads1289</v>
      </c>
    </row>
    <row r="1290" spans="1:3">
      <c r="A1290" s="425">
        <v>0</v>
      </c>
      <c r="B1290" s="12">
        <v>1290</v>
      </c>
      <c r="C1290" s="12" t="str">
        <f t="shared" si="20"/>
        <v>Trads1290</v>
      </c>
    </row>
    <row r="1291" spans="1:3">
      <c r="A1291" s="425">
        <v>0</v>
      </c>
      <c r="B1291" s="12">
        <v>1291</v>
      </c>
      <c r="C1291" s="12" t="str">
        <f t="shared" si="20"/>
        <v>Trads1291</v>
      </c>
    </row>
    <row r="1292" spans="1:3">
      <c r="A1292" s="425">
        <v>0</v>
      </c>
      <c r="B1292" s="12">
        <v>1292</v>
      </c>
      <c r="C1292" s="12" t="str">
        <f t="shared" si="20"/>
        <v>Trads1292</v>
      </c>
    </row>
    <row r="1293" spans="1:3">
      <c r="A1293" s="425">
        <v>0</v>
      </c>
      <c r="B1293" s="12">
        <v>1293</v>
      </c>
      <c r="C1293" s="12" t="str">
        <f t="shared" si="20"/>
        <v>Trads1293</v>
      </c>
    </row>
    <row r="1294" spans="1:3">
      <c r="A1294" s="425">
        <v>0</v>
      </c>
      <c r="B1294" s="12">
        <v>1294</v>
      </c>
      <c r="C1294" s="12" t="str">
        <f t="shared" si="20"/>
        <v>Trads1294</v>
      </c>
    </row>
    <row r="1295" spans="1:3">
      <c r="A1295" s="425">
        <v>0</v>
      </c>
      <c r="B1295" s="12">
        <v>1295</v>
      </c>
      <c r="C1295" s="12" t="str">
        <f t="shared" si="20"/>
        <v>Trads1295</v>
      </c>
    </row>
    <row r="1296" spans="1:3">
      <c r="A1296" s="425">
        <v>0</v>
      </c>
      <c r="B1296" s="12">
        <v>1296</v>
      </c>
      <c r="C1296" s="12" t="str">
        <f t="shared" si="20"/>
        <v>Trads1296</v>
      </c>
    </row>
    <row r="1297" spans="1:3">
      <c r="A1297" s="425">
        <v>0</v>
      </c>
      <c r="B1297" s="12">
        <v>1297</v>
      </c>
      <c r="C1297" s="12" t="str">
        <f t="shared" si="20"/>
        <v>Trads1297</v>
      </c>
    </row>
    <row r="1298" spans="1:3">
      <c r="A1298" s="425">
        <v>0</v>
      </c>
      <c r="B1298" s="12">
        <v>1298</v>
      </c>
      <c r="C1298" s="12" t="str">
        <f t="shared" si="20"/>
        <v>Trads1298</v>
      </c>
    </row>
    <row r="1299" spans="1:3">
      <c r="A1299" s="425">
        <v>0</v>
      </c>
      <c r="B1299" s="12">
        <v>1299</v>
      </c>
      <c r="C1299" s="12" t="str">
        <f t="shared" si="20"/>
        <v>Trads1299</v>
      </c>
    </row>
    <row r="1300" spans="1:3">
      <c r="A1300" s="425">
        <v>0</v>
      </c>
      <c r="B1300" s="12">
        <v>1300</v>
      </c>
      <c r="C1300" s="12" t="str">
        <f t="shared" si="20"/>
        <v>Trads1300</v>
      </c>
    </row>
    <row r="1301" spans="1:3">
      <c r="A1301" s="425">
        <v>0</v>
      </c>
      <c r="B1301" s="12">
        <v>1301</v>
      </c>
      <c r="C1301" s="12" t="str">
        <f t="shared" si="20"/>
        <v>Trads1301</v>
      </c>
    </row>
    <row r="1302" spans="1:3">
      <c r="A1302" s="425">
        <v>0</v>
      </c>
      <c r="B1302" s="12">
        <v>1302</v>
      </c>
      <c r="C1302" s="12" t="str">
        <f t="shared" si="20"/>
        <v>Trads1302</v>
      </c>
    </row>
    <row r="1303" spans="1:3">
      <c r="A1303" s="425">
        <v>0</v>
      </c>
      <c r="B1303" s="12">
        <v>1303</v>
      </c>
      <c r="C1303" s="12" t="str">
        <f t="shared" si="20"/>
        <v>Trads1303</v>
      </c>
    </row>
    <row r="1304" spans="1:3">
      <c r="A1304" s="425">
        <v>0</v>
      </c>
      <c r="B1304" s="12">
        <v>1304</v>
      </c>
      <c r="C1304" s="12" t="str">
        <f t="shared" si="20"/>
        <v>Trads1304</v>
      </c>
    </row>
    <row r="1305" spans="1:3">
      <c r="A1305" s="425">
        <v>0</v>
      </c>
      <c r="B1305" s="12">
        <v>1305</v>
      </c>
      <c r="C1305" s="12" t="str">
        <f t="shared" si="20"/>
        <v>Trads1305</v>
      </c>
    </row>
    <row r="1306" spans="1:3">
      <c r="A1306" s="425">
        <v>0</v>
      </c>
      <c r="B1306" s="12">
        <v>1306</v>
      </c>
      <c r="C1306" s="12" t="str">
        <f t="shared" si="20"/>
        <v>Trads1306</v>
      </c>
    </row>
    <row r="1307" spans="1:3">
      <c r="A1307" s="425">
        <v>0</v>
      </c>
      <c r="B1307" s="12">
        <v>1307</v>
      </c>
      <c r="C1307" s="12" t="str">
        <f t="shared" si="20"/>
        <v>Trads1307</v>
      </c>
    </row>
    <row r="1308" spans="1:3">
      <c r="A1308" s="425">
        <v>0</v>
      </c>
      <c r="B1308" s="12">
        <v>1308</v>
      </c>
      <c r="C1308" s="12" t="str">
        <f t="shared" si="20"/>
        <v>Trads1308</v>
      </c>
    </row>
    <row r="1309" spans="1:3">
      <c r="A1309" s="425">
        <v>0</v>
      </c>
      <c r="B1309" s="12">
        <v>1309</v>
      </c>
      <c r="C1309" s="12" t="str">
        <f t="shared" si="20"/>
        <v>Trads1309</v>
      </c>
    </row>
    <row r="1310" spans="1:3">
      <c r="A1310" s="425">
        <v>0</v>
      </c>
      <c r="B1310" s="12">
        <v>1310</v>
      </c>
      <c r="C1310" s="12" t="str">
        <f t="shared" si="20"/>
        <v>Trads1310</v>
      </c>
    </row>
    <row r="1311" spans="1:3">
      <c r="A1311" s="425">
        <v>0</v>
      </c>
      <c r="B1311" s="12">
        <v>1311</v>
      </c>
      <c r="C1311" s="12" t="str">
        <f t="shared" si="20"/>
        <v>Trads1311</v>
      </c>
    </row>
    <row r="1312" spans="1:3">
      <c r="A1312" s="425">
        <v>0</v>
      </c>
      <c r="B1312" s="12">
        <v>1312</v>
      </c>
      <c r="C1312" s="12" t="str">
        <f t="shared" si="20"/>
        <v>Trads1312</v>
      </c>
    </row>
    <row r="1313" spans="1:3">
      <c r="A1313" s="425">
        <v>0</v>
      </c>
      <c r="B1313" s="12">
        <v>1313</v>
      </c>
      <c r="C1313" s="12" t="str">
        <f t="shared" si="20"/>
        <v>Trads1313</v>
      </c>
    </row>
    <row r="1314" spans="1:3">
      <c r="A1314" s="425">
        <v>0</v>
      </c>
      <c r="B1314" s="12">
        <v>1314</v>
      </c>
      <c r="C1314" s="12" t="str">
        <f t="shared" si="20"/>
        <v>Trads1314</v>
      </c>
    </row>
    <row r="1315" spans="1:3">
      <c r="A1315" s="425">
        <v>0</v>
      </c>
      <c r="B1315" s="12">
        <v>1315</v>
      </c>
      <c r="C1315" s="12" t="str">
        <f t="shared" si="20"/>
        <v>Trads1315</v>
      </c>
    </row>
    <row r="1316" spans="1:3">
      <c r="A1316" s="425">
        <v>0</v>
      </c>
      <c r="B1316" s="12">
        <v>1316</v>
      </c>
      <c r="C1316" s="12" t="str">
        <f t="shared" si="20"/>
        <v>Trads1316</v>
      </c>
    </row>
    <row r="1317" spans="1:3">
      <c r="A1317" s="425">
        <v>0</v>
      </c>
      <c r="B1317" s="12">
        <v>1317</v>
      </c>
      <c r="C1317" s="12" t="str">
        <f t="shared" si="20"/>
        <v>Trads1317</v>
      </c>
    </row>
    <row r="1318" spans="1:3">
      <c r="A1318" s="425">
        <v>0</v>
      </c>
      <c r="B1318" s="12">
        <v>1318</v>
      </c>
      <c r="C1318" s="12" t="str">
        <f t="shared" si="20"/>
        <v>Trads1318</v>
      </c>
    </row>
    <row r="1319" spans="1:3">
      <c r="A1319" s="425">
        <v>0</v>
      </c>
      <c r="B1319" s="12">
        <v>1319</v>
      </c>
      <c r="C1319" s="12" t="str">
        <f t="shared" si="20"/>
        <v>Trads1319</v>
      </c>
    </row>
    <row r="1320" spans="1:3">
      <c r="A1320" s="425">
        <v>0</v>
      </c>
      <c r="B1320" s="12">
        <v>1320</v>
      </c>
      <c r="C1320" s="12" t="str">
        <f t="shared" si="20"/>
        <v>Trads1320</v>
      </c>
    </row>
    <row r="1321" spans="1:3">
      <c r="A1321" s="425">
        <v>0</v>
      </c>
      <c r="B1321" s="12">
        <v>1321</v>
      </c>
      <c r="C1321" s="12" t="str">
        <f t="shared" si="20"/>
        <v>Trads1321</v>
      </c>
    </row>
    <row r="1322" spans="1:3">
      <c r="A1322" s="425">
        <v>0</v>
      </c>
      <c r="B1322" s="12">
        <v>1322</v>
      </c>
      <c r="C1322" s="12" t="str">
        <f t="shared" si="20"/>
        <v>Trads1322</v>
      </c>
    </row>
    <row r="1323" spans="1:3">
      <c r="A1323" s="425">
        <v>0</v>
      </c>
      <c r="B1323" s="12">
        <v>1323</v>
      </c>
      <c r="C1323" s="12" t="str">
        <f t="shared" si="20"/>
        <v>Trads1323</v>
      </c>
    </row>
    <row r="1324" spans="1:3">
      <c r="A1324" s="425">
        <v>0</v>
      </c>
      <c r="B1324" s="12">
        <v>1324</v>
      </c>
      <c r="C1324" s="12" t="str">
        <f t="shared" si="20"/>
        <v>Trads1324</v>
      </c>
    </row>
    <row r="1325" spans="1:3">
      <c r="A1325" s="425">
        <v>0</v>
      </c>
      <c r="B1325" s="12">
        <v>1325</v>
      </c>
      <c r="C1325" s="12" t="str">
        <f t="shared" si="20"/>
        <v>Trads1325</v>
      </c>
    </row>
    <row r="1326" spans="1:3">
      <c r="A1326" s="425">
        <v>0</v>
      </c>
      <c r="B1326" s="12">
        <v>1326</v>
      </c>
      <c r="C1326" s="12" t="str">
        <f t="shared" si="20"/>
        <v>Trads1326</v>
      </c>
    </row>
    <row r="1327" spans="1:3">
      <c r="A1327" s="425">
        <v>0</v>
      </c>
      <c r="B1327" s="12">
        <v>1327</v>
      </c>
      <c r="C1327" s="12" t="str">
        <f t="shared" si="20"/>
        <v>Trads1327</v>
      </c>
    </row>
    <row r="1328" spans="1:3">
      <c r="A1328" s="425">
        <v>0</v>
      </c>
      <c r="B1328" s="12">
        <v>1328</v>
      </c>
      <c r="C1328" s="12" t="str">
        <f t="shared" si="20"/>
        <v>Trads1328</v>
      </c>
    </row>
    <row r="1329" spans="1:3">
      <c r="A1329" s="425">
        <v>0</v>
      </c>
      <c r="B1329" s="12">
        <v>1329</v>
      </c>
      <c r="C1329" s="12" t="str">
        <f t="shared" si="20"/>
        <v>Trads1329</v>
      </c>
    </row>
    <row r="1330" spans="1:3">
      <c r="A1330" s="425">
        <v>0</v>
      </c>
      <c r="B1330" s="12">
        <v>1330</v>
      </c>
      <c r="C1330" s="12" t="str">
        <f t="shared" si="20"/>
        <v>Trads1330</v>
      </c>
    </row>
    <row r="1331" spans="1:3">
      <c r="A1331" s="425">
        <v>0</v>
      </c>
      <c r="B1331" s="12">
        <v>1331</v>
      </c>
      <c r="C1331" s="12" t="str">
        <f t="shared" si="20"/>
        <v>Trads1331</v>
      </c>
    </row>
    <row r="1332" spans="1:3">
      <c r="A1332" s="425">
        <v>0</v>
      </c>
      <c r="B1332" s="12">
        <v>1332</v>
      </c>
      <c r="C1332" s="12" t="str">
        <f t="shared" si="20"/>
        <v>Trads1332</v>
      </c>
    </row>
    <row r="1333" spans="1:3">
      <c r="A1333" s="425">
        <v>0</v>
      </c>
      <c r="B1333" s="12">
        <v>1333</v>
      </c>
      <c r="C1333" s="12" t="str">
        <f t="shared" si="20"/>
        <v>Trads1333</v>
      </c>
    </row>
    <row r="1334" spans="1:3">
      <c r="A1334" s="425">
        <v>0</v>
      </c>
      <c r="B1334" s="12">
        <v>1334</v>
      </c>
      <c r="C1334" s="12" t="str">
        <f t="shared" si="20"/>
        <v>Trads1334</v>
      </c>
    </row>
    <row r="1335" spans="1:3">
      <c r="A1335" s="425">
        <v>0</v>
      </c>
      <c r="B1335" s="12">
        <v>1335</v>
      </c>
      <c r="C1335" s="12" t="str">
        <f t="shared" si="20"/>
        <v>Trads1335</v>
      </c>
    </row>
    <row r="1336" spans="1:3">
      <c r="A1336" s="425">
        <v>0</v>
      </c>
      <c r="B1336" s="12">
        <v>1336</v>
      </c>
      <c r="C1336" s="12" t="str">
        <f t="shared" si="20"/>
        <v>Trads1336</v>
      </c>
    </row>
    <row r="1337" spans="1:3">
      <c r="A1337" s="425">
        <v>0</v>
      </c>
      <c r="B1337" s="12">
        <v>1337</v>
      </c>
      <c r="C1337" s="12" t="str">
        <f t="shared" si="20"/>
        <v>Trads1337</v>
      </c>
    </row>
    <row r="1338" spans="1:3">
      <c r="A1338" s="425">
        <v>0</v>
      </c>
      <c r="B1338" s="12">
        <v>1338</v>
      </c>
      <c r="C1338" s="12" t="str">
        <f t="shared" si="20"/>
        <v>Trads1338</v>
      </c>
    </row>
    <row r="1339" spans="1:3">
      <c r="A1339" s="425">
        <v>0</v>
      </c>
      <c r="B1339" s="12">
        <v>1339</v>
      </c>
      <c r="C1339" s="12" t="str">
        <f t="shared" si="20"/>
        <v>Trads1339</v>
      </c>
    </row>
    <row r="1340" spans="1:3">
      <c r="A1340" s="425">
        <v>0</v>
      </c>
      <c r="B1340" s="12">
        <v>1340</v>
      </c>
      <c r="C1340" s="12" t="str">
        <f t="shared" si="20"/>
        <v>Trads1340</v>
      </c>
    </row>
    <row r="1341" spans="1:3">
      <c r="A1341" s="425">
        <v>0</v>
      </c>
      <c r="B1341" s="12">
        <v>1341</v>
      </c>
      <c r="C1341" s="12" t="str">
        <f t="shared" si="20"/>
        <v>Trads1341</v>
      </c>
    </row>
    <row r="1342" spans="1:3">
      <c r="A1342" s="425">
        <v>0</v>
      </c>
      <c r="B1342" s="12">
        <v>1342</v>
      </c>
      <c r="C1342" s="12" t="str">
        <f t="shared" si="20"/>
        <v>Trads1342</v>
      </c>
    </row>
    <row r="1343" spans="1:3">
      <c r="A1343" s="425">
        <v>0</v>
      </c>
      <c r="B1343" s="12">
        <v>1343</v>
      </c>
      <c r="C1343" s="12" t="str">
        <f t="shared" si="20"/>
        <v>Trads1343</v>
      </c>
    </row>
    <row r="1344" spans="1:3">
      <c r="A1344" s="425">
        <v>0</v>
      </c>
      <c r="B1344" s="12">
        <v>1344</v>
      </c>
      <c r="C1344" s="12" t="str">
        <f t="shared" si="20"/>
        <v>Trads1344</v>
      </c>
    </row>
    <row r="1345" spans="1:3">
      <c r="A1345" s="425">
        <v>0</v>
      </c>
      <c r="B1345" s="12">
        <v>1345</v>
      </c>
      <c r="C1345" s="12" t="str">
        <f t="shared" si="20"/>
        <v>Trads1345</v>
      </c>
    </row>
    <row r="1346" spans="1:3">
      <c r="A1346" s="425">
        <v>0</v>
      </c>
      <c r="B1346" s="12">
        <v>1346</v>
      </c>
      <c r="C1346" s="12" t="str">
        <f t="shared" si="20"/>
        <v>Trads1346</v>
      </c>
    </row>
    <row r="1347" spans="1:3">
      <c r="A1347" s="425">
        <v>0</v>
      </c>
      <c r="B1347" s="12">
        <v>1347</v>
      </c>
      <c r="C1347" s="12" t="str">
        <f t="shared" ref="C1347:C1410" si="21">+_xlfn.CONCAT("Trads",B1347)</f>
        <v>Trads1347</v>
      </c>
    </row>
    <row r="1348" spans="1:3">
      <c r="A1348" s="425">
        <v>0</v>
      </c>
      <c r="B1348" s="12">
        <v>1348</v>
      </c>
      <c r="C1348" s="12" t="str">
        <f t="shared" si="21"/>
        <v>Trads1348</v>
      </c>
    </row>
    <row r="1349" spans="1:3">
      <c r="A1349" s="425">
        <v>0</v>
      </c>
      <c r="B1349" s="12">
        <v>1349</v>
      </c>
      <c r="C1349" s="12" t="str">
        <f t="shared" si="21"/>
        <v>Trads1349</v>
      </c>
    </row>
    <row r="1350" spans="1:3">
      <c r="A1350" s="425">
        <v>0</v>
      </c>
      <c r="B1350" s="12">
        <v>1350</v>
      </c>
      <c r="C1350" s="12" t="str">
        <f t="shared" si="21"/>
        <v>Trads1350</v>
      </c>
    </row>
    <row r="1351" spans="1:3">
      <c r="A1351" s="425">
        <v>0</v>
      </c>
      <c r="B1351" s="12">
        <v>1351</v>
      </c>
      <c r="C1351" s="12" t="str">
        <f t="shared" si="21"/>
        <v>Trads1351</v>
      </c>
    </row>
    <row r="1352" spans="1:3">
      <c r="A1352" s="425">
        <v>0</v>
      </c>
      <c r="B1352" s="12">
        <v>1352</v>
      </c>
      <c r="C1352" s="12" t="str">
        <f t="shared" si="21"/>
        <v>Trads1352</v>
      </c>
    </row>
    <row r="1353" spans="1:3">
      <c r="A1353" s="425">
        <v>0</v>
      </c>
      <c r="B1353" s="12">
        <v>1353</v>
      </c>
      <c r="C1353" s="12" t="str">
        <f t="shared" si="21"/>
        <v>Trads1353</v>
      </c>
    </row>
    <row r="1354" spans="1:3">
      <c r="A1354" s="425">
        <v>0</v>
      </c>
      <c r="B1354" s="12">
        <v>1354</v>
      </c>
      <c r="C1354" s="12" t="str">
        <f t="shared" si="21"/>
        <v>Trads1354</v>
      </c>
    </row>
    <row r="1355" spans="1:3">
      <c r="A1355" s="425">
        <v>0</v>
      </c>
      <c r="B1355" s="12">
        <v>1355</v>
      </c>
      <c r="C1355" s="12" t="str">
        <f t="shared" si="21"/>
        <v>Trads1355</v>
      </c>
    </row>
    <row r="1356" spans="1:3">
      <c r="A1356" s="425">
        <v>0</v>
      </c>
      <c r="B1356" s="12">
        <v>1356</v>
      </c>
      <c r="C1356" s="12" t="str">
        <f t="shared" si="21"/>
        <v>Trads1356</v>
      </c>
    </row>
    <row r="1357" spans="1:3">
      <c r="A1357" s="425">
        <v>0</v>
      </c>
      <c r="B1357" s="12">
        <v>1357</v>
      </c>
      <c r="C1357" s="12" t="str">
        <f t="shared" si="21"/>
        <v>Trads1357</v>
      </c>
    </row>
    <row r="1358" spans="1:3">
      <c r="A1358" s="425">
        <v>0</v>
      </c>
      <c r="B1358" s="12">
        <v>1358</v>
      </c>
      <c r="C1358" s="12" t="str">
        <f t="shared" si="21"/>
        <v>Trads1358</v>
      </c>
    </row>
    <row r="1359" spans="1:3">
      <c r="A1359" s="425">
        <v>0</v>
      </c>
      <c r="B1359" s="12">
        <v>1359</v>
      </c>
      <c r="C1359" s="12" t="str">
        <f t="shared" si="21"/>
        <v>Trads1359</v>
      </c>
    </row>
    <row r="1360" spans="1:3">
      <c r="A1360" s="425">
        <v>0</v>
      </c>
      <c r="B1360" s="12">
        <v>1360</v>
      </c>
      <c r="C1360" s="12" t="str">
        <f t="shared" si="21"/>
        <v>Trads1360</v>
      </c>
    </row>
    <row r="1361" spans="1:3">
      <c r="A1361" s="425">
        <v>0</v>
      </c>
      <c r="B1361" s="12">
        <v>1361</v>
      </c>
      <c r="C1361" s="12" t="str">
        <f t="shared" si="21"/>
        <v>Trads1361</v>
      </c>
    </row>
    <row r="1362" spans="1:3">
      <c r="A1362" s="425">
        <v>0</v>
      </c>
      <c r="B1362" s="12">
        <v>1362</v>
      </c>
      <c r="C1362" s="12" t="str">
        <f t="shared" si="21"/>
        <v>Trads1362</v>
      </c>
    </row>
    <row r="1363" spans="1:3">
      <c r="A1363" s="425">
        <v>0</v>
      </c>
      <c r="B1363" s="12">
        <v>1363</v>
      </c>
      <c r="C1363" s="12" t="str">
        <f t="shared" si="21"/>
        <v>Trads1363</v>
      </c>
    </row>
    <row r="1364" spans="1:3">
      <c r="A1364" s="425">
        <v>0</v>
      </c>
      <c r="B1364" s="12">
        <v>1364</v>
      </c>
      <c r="C1364" s="12" t="str">
        <f t="shared" si="21"/>
        <v>Trads1364</v>
      </c>
    </row>
    <row r="1365" spans="1:3">
      <c r="A1365" s="425">
        <v>0</v>
      </c>
      <c r="B1365" s="12">
        <v>1365</v>
      </c>
      <c r="C1365" s="12" t="str">
        <f t="shared" si="21"/>
        <v>Trads1365</v>
      </c>
    </row>
    <row r="1366" spans="1:3">
      <c r="A1366" s="425">
        <v>0</v>
      </c>
      <c r="B1366" s="12">
        <v>1366</v>
      </c>
      <c r="C1366" s="12" t="str">
        <f t="shared" si="21"/>
        <v>Trads1366</v>
      </c>
    </row>
    <row r="1367" spans="1:3">
      <c r="A1367" s="425">
        <v>0</v>
      </c>
      <c r="B1367" s="12">
        <v>1367</v>
      </c>
      <c r="C1367" s="12" t="str">
        <f t="shared" si="21"/>
        <v>Trads1367</v>
      </c>
    </row>
    <row r="1368" spans="1:3">
      <c r="A1368" s="425">
        <v>0</v>
      </c>
      <c r="B1368" s="12">
        <v>1368</v>
      </c>
      <c r="C1368" s="12" t="str">
        <f t="shared" si="21"/>
        <v>Trads1368</v>
      </c>
    </row>
    <row r="1369" spans="1:3">
      <c r="A1369" s="425">
        <v>0</v>
      </c>
      <c r="B1369" s="12">
        <v>1369</v>
      </c>
      <c r="C1369" s="12" t="str">
        <f t="shared" si="21"/>
        <v>Trads1369</v>
      </c>
    </row>
    <row r="1370" spans="1:3">
      <c r="A1370" s="425">
        <v>0</v>
      </c>
      <c r="B1370" s="12">
        <v>1370</v>
      </c>
      <c r="C1370" s="12" t="str">
        <f t="shared" si="21"/>
        <v>Trads1370</v>
      </c>
    </row>
    <row r="1371" spans="1:3">
      <c r="A1371" s="425">
        <v>0</v>
      </c>
      <c r="B1371" s="12">
        <v>1371</v>
      </c>
      <c r="C1371" s="12" t="str">
        <f t="shared" si="21"/>
        <v>Trads1371</v>
      </c>
    </row>
    <row r="1372" spans="1:3">
      <c r="A1372" s="425">
        <v>0</v>
      </c>
      <c r="B1372" s="12">
        <v>1372</v>
      </c>
      <c r="C1372" s="12" t="str">
        <f t="shared" si="21"/>
        <v>Trads1372</v>
      </c>
    </row>
    <row r="1373" spans="1:3">
      <c r="A1373" s="425">
        <v>0</v>
      </c>
      <c r="B1373" s="12">
        <v>1373</v>
      </c>
      <c r="C1373" s="12" t="str">
        <f t="shared" si="21"/>
        <v>Trads1373</v>
      </c>
    </row>
    <row r="1374" spans="1:3">
      <c r="A1374" s="425">
        <v>0</v>
      </c>
      <c r="B1374" s="12">
        <v>1374</v>
      </c>
      <c r="C1374" s="12" t="str">
        <f t="shared" si="21"/>
        <v>Trads1374</v>
      </c>
    </row>
    <row r="1375" spans="1:3">
      <c r="A1375" s="425">
        <v>0</v>
      </c>
      <c r="B1375" s="12">
        <v>1375</v>
      </c>
      <c r="C1375" s="12" t="str">
        <f t="shared" si="21"/>
        <v>Trads1375</v>
      </c>
    </row>
    <row r="1376" spans="1:3">
      <c r="A1376" s="425">
        <v>0</v>
      </c>
      <c r="B1376" s="12">
        <v>1376</v>
      </c>
      <c r="C1376" s="12" t="str">
        <f t="shared" si="21"/>
        <v>Trads1376</v>
      </c>
    </row>
    <row r="1377" spans="1:3">
      <c r="A1377" s="425">
        <v>0</v>
      </c>
      <c r="B1377" s="12">
        <v>1377</v>
      </c>
      <c r="C1377" s="12" t="str">
        <f t="shared" si="21"/>
        <v>Trads1377</v>
      </c>
    </row>
    <row r="1378" spans="1:3">
      <c r="A1378" s="425">
        <v>0</v>
      </c>
      <c r="B1378" s="12">
        <v>1378</v>
      </c>
      <c r="C1378" s="12" t="str">
        <f t="shared" si="21"/>
        <v>Trads1378</v>
      </c>
    </row>
    <row r="1379" spans="1:3">
      <c r="A1379" s="425">
        <v>0</v>
      </c>
      <c r="B1379" s="12">
        <v>1379</v>
      </c>
      <c r="C1379" s="12" t="str">
        <f t="shared" si="21"/>
        <v>Trads1379</v>
      </c>
    </row>
    <row r="1380" spans="1:3">
      <c r="A1380" s="425">
        <v>0</v>
      </c>
      <c r="B1380" s="12">
        <v>1380</v>
      </c>
      <c r="C1380" s="12" t="str">
        <f t="shared" si="21"/>
        <v>Trads1380</v>
      </c>
    </row>
    <row r="1381" spans="1:3">
      <c r="A1381" s="425">
        <v>0</v>
      </c>
      <c r="B1381" s="12">
        <v>1381</v>
      </c>
      <c r="C1381" s="12" t="str">
        <f t="shared" si="21"/>
        <v>Trads1381</v>
      </c>
    </row>
    <row r="1382" spans="1:3">
      <c r="A1382" s="425">
        <v>0</v>
      </c>
      <c r="B1382" s="12">
        <v>1382</v>
      </c>
      <c r="C1382" s="12" t="str">
        <f t="shared" si="21"/>
        <v>Trads1382</v>
      </c>
    </row>
    <row r="1383" spans="1:3">
      <c r="A1383" s="425">
        <v>0</v>
      </c>
      <c r="B1383" s="12">
        <v>1383</v>
      </c>
      <c r="C1383" s="12" t="str">
        <f t="shared" si="21"/>
        <v>Trads1383</v>
      </c>
    </row>
    <row r="1384" spans="1:3">
      <c r="A1384" s="425">
        <v>0</v>
      </c>
      <c r="B1384" s="12">
        <v>1384</v>
      </c>
      <c r="C1384" s="12" t="str">
        <f t="shared" si="21"/>
        <v>Trads1384</v>
      </c>
    </row>
    <row r="1385" spans="1:3">
      <c r="A1385" s="425">
        <v>0</v>
      </c>
      <c r="B1385" s="12">
        <v>1385</v>
      </c>
      <c r="C1385" s="12" t="str">
        <f t="shared" si="21"/>
        <v>Trads1385</v>
      </c>
    </row>
    <row r="1386" spans="1:3">
      <c r="A1386" s="425">
        <v>0</v>
      </c>
      <c r="B1386" s="12">
        <v>1386</v>
      </c>
      <c r="C1386" s="12" t="str">
        <f t="shared" si="21"/>
        <v>Trads1386</v>
      </c>
    </row>
    <row r="1387" spans="1:3">
      <c r="A1387" s="425">
        <v>0</v>
      </c>
      <c r="B1387" s="12">
        <v>1387</v>
      </c>
      <c r="C1387" s="12" t="str">
        <f t="shared" si="21"/>
        <v>Trads1387</v>
      </c>
    </row>
    <row r="1388" spans="1:3">
      <c r="A1388" s="425">
        <v>0</v>
      </c>
      <c r="B1388" s="12">
        <v>1388</v>
      </c>
      <c r="C1388" s="12" t="str">
        <f t="shared" si="21"/>
        <v>Trads1388</v>
      </c>
    </row>
    <row r="1389" spans="1:3">
      <c r="A1389" s="425">
        <v>0</v>
      </c>
      <c r="B1389" s="12">
        <v>1389</v>
      </c>
      <c r="C1389" s="12" t="str">
        <f t="shared" si="21"/>
        <v>Trads1389</v>
      </c>
    </row>
    <row r="1390" spans="1:3">
      <c r="A1390" s="425">
        <v>0</v>
      </c>
      <c r="B1390" s="12">
        <v>1390</v>
      </c>
      <c r="C1390" s="12" t="str">
        <f t="shared" si="21"/>
        <v>Trads1390</v>
      </c>
    </row>
    <row r="1391" spans="1:3">
      <c r="A1391" s="425">
        <v>0</v>
      </c>
      <c r="B1391" s="12">
        <v>1391</v>
      </c>
      <c r="C1391" s="12" t="str">
        <f t="shared" si="21"/>
        <v>Trads1391</v>
      </c>
    </row>
    <row r="1392" spans="1:3">
      <c r="A1392" s="425">
        <v>0</v>
      </c>
      <c r="B1392" s="12">
        <v>1392</v>
      </c>
      <c r="C1392" s="12" t="str">
        <f t="shared" si="21"/>
        <v>Trads1392</v>
      </c>
    </row>
    <row r="1393" spans="1:3">
      <c r="A1393" s="425">
        <v>0</v>
      </c>
      <c r="B1393" s="12">
        <v>1393</v>
      </c>
      <c r="C1393" s="12" t="str">
        <f t="shared" si="21"/>
        <v>Trads1393</v>
      </c>
    </row>
    <row r="1394" spans="1:3">
      <c r="A1394" s="425">
        <v>0</v>
      </c>
      <c r="B1394" s="12">
        <v>1394</v>
      </c>
      <c r="C1394" s="12" t="str">
        <f t="shared" si="21"/>
        <v>Trads1394</v>
      </c>
    </row>
    <row r="1395" spans="1:3">
      <c r="A1395" s="425">
        <v>0</v>
      </c>
      <c r="B1395" s="12">
        <v>1395</v>
      </c>
      <c r="C1395" s="12" t="str">
        <f t="shared" si="21"/>
        <v>Trads1395</v>
      </c>
    </row>
    <row r="1396" spans="1:3">
      <c r="A1396" s="425">
        <v>0</v>
      </c>
      <c r="B1396" s="12">
        <v>1396</v>
      </c>
      <c r="C1396" s="12" t="str">
        <f t="shared" si="21"/>
        <v>Trads1396</v>
      </c>
    </row>
    <row r="1397" spans="1:3">
      <c r="A1397" s="425">
        <v>0</v>
      </c>
      <c r="B1397" s="12">
        <v>1397</v>
      </c>
      <c r="C1397" s="12" t="str">
        <f t="shared" si="21"/>
        <v>Trads1397</v>
      </c>
    </row>
    <row r="1398" spans="1:3">
      <c r="A1398" s="425">
        <v>0</v>
      </c>
      <c r="B1398" s="12">
        <v>1398</v>
      </c>
      <c r="C1398" s="12" t="str">
        <f t="shared" si="21"/>
        <v>Trads1398</v>
      </c>
    </row>
    <row r="1399" spans="1:3">
      <c r="A1399" s="425">
        <v>0</v>
      </c>
      <c r="B1399" s="12">
        <v>1399</v>
      </c>
      <c r="C1399" s="12" t="str">
        <f t="shared" si="21"/>
        <v>Trads1399</v>
      </c>
    </row>
    <row r="1400" spans="1:3">
      <c r="A1400" s="425">
        <v>0</v>
      </c>
      <c r="B1400" s="12">
        <v>1400</v>
      </c>
      <c r="C1400" s="12" t="str">
        <f t="shared" si="21"/>
        <v>Trads1400</v>
      </c>
    </row>
    <row r="1401" spans="1:3">
      <c r="A1401" s="425">
        <v>0</v>
      </c>
      <c r="B1401" s="12">
        <v>1401</v>
      </c>
      <c r="C1401" s="12" t="str">
        <f t="shared" si="21"/>
        <v>Trads1401</v>
      </c>
    </row>
    <row r="1402" spans="1:3">
      <c r="A1402" s="425">
        <v>0</v>
      </c>
      <c r="B1402" s="12">
        <v>1402</v>
      </c>
      <c r="C1402" s="12" t="str">
        <f t="shared" si="21"/>
        <v>Trads1402</v>
      </c>
    </row>
    <row r="1403" spans="1:3">
      <c r="A1403" s="425">
        <v>0</v>
      </c>
      <c r="B1403" s="12">
        <v>1403</v>
      </c>
      <c r="C1403" s="12" t="str">
        <f t="shared" si="21"/>
        <v>Trads1403</v>
      </c>
    </row>
    <row r="1404" spans="1:3">
      <c r="A1404" s="425">
        <v>0</v>
      </c>
      <c r="B1404" s="12">
        <v>1404</v>
      </c>
      <c r="C1404" s="12" t="str">
        <f t="shared" si="21"/>
        <v>Trads1404</v>
      </c>
    </row>
    <row r="1405" spans="1:3">
      <c r="A1405" s="425">
        <v>0</v>
      </c>
      <c r="B1405" s="12">
        <v>1405</v>
      </c>
      <c r="C1405" s="12" t="str">
        <f t="shared" si="21"/>
        <v>Trads1405</v>
      </c>
    </row>
    <row r="1406" spans="1:3">
      <c r="A1406" s="425">
        <v>0</v>
      </c>
      <c r="B1406" s="12">
        <v>1406</v>
      </c>
      <c r="C1406" s="12" t="str">
        <f t="shared" si="21"/>
        <v>Trads1406</v>
      </c>
    </row>
    <row r="1407" spans="1:3">
      <c r="A1407" s="425">
        <v>0</v>
      </c>
      <c r="B1407" s="12">
        <v>1407</v>
      </c>
      <c r="C1407" s="12" t="str">
        <f t="shared" si="21"/>
        <v>Trads1407</v>
      </c>
    </row>
    <row r="1408" spans="1:3">
      <c r="A1408" s="425">
        <v>0</v>
      </c>
      <c r="B1408" s="12">
        <v>1408</v>
      </c>
      <c r="C1408" s="12" t="str">
        <f t="shared" si="21"/>
        <v>Trads1408</v>
      </c>
    </row>
    <row r="1409" spans="1:3">
      <c r="A1409" s="425">
        <v>0</v>
      </c>
      <c r="B1409" s="12">
        <v>1409</v>
      </c>
      <c r="C1409" s="12" t="str">
        <f t="shared" si="21"/>
        <v>Trads1409</v>
      </c>
    </row>
    <row r="1410" spans="1:3">
      <c r="A1410" s="425">
        <v>0</v>
      </c>
      <c r="B1410" s="12">
        <v>1410</v>
      </c>
      <c r="C1410" s="12" t="str">
        <f t="shared" si="21"/>
        <v>Trads1410</v>
      </c>
    </row>
    <row r="1411" spans="1:3">
      <c r="A1411" s="425">
        <v>0</v>
      </c>
      <c r="B1411" s="12">
        <v>1411</v>
      </c>
      <c r="C1411" s="12" t="str">
        <f t="shared" ref="C1411:C1474" si="22">+_xlfn.CONCAT("Trads",B1411)</f>
        <v>Trads1411</v>
      </c>
    </row>
    <row r="1412" spans="1:3">
      <c r="A1412" s="425">
        <v>0</v>
      </c>
      <c r="B1412" s="12">
        <v>1412</v>
      </c>
      <c r="C1412" s="12" t="str">
        <f t="shared" si="22"/>
        <v>Trads1412</v>
      </c>
    </row>
    <row r="1413" spans="1:3">
      <c r="A1413" s="425">
        <v>0</v>
      </c>
      <c r="B1413" s="12">
        <v>1413</v>
      </c>
      <c r="C1413" s="12" t="str">
        <f t="shared" si="22"/>
        <v>Trads1413</v>
      </c>
    </row>
    <row r="1414" spans="1:3">
      <c r="A1414" s="425">
        <v>0</v>
      </c>
      <c r="B1414" s="12">
        <v>1414</v>
      </c>
      <c r="C1414" s="12" t="str">
        <f t="shared" si="22"/>
        <v>Trads1414</v>
      </c>
    </row>
    <row r="1415" spans="1:3">
      <c r="A1415" s="425">
        <v>0</v>
      </c>
      <c r="B1415" s="12">
        <v>1415</v>
      </c>
      <c r="C1415" s="12" t="str">
        <f t="shared" si="22"/>
        <v>Trads1415</v>
      </c>
    </row>
    <row r="1416" spans="1:3">
      <c r="A1416" s="425">
        <v>0</v>
      </c>
      <c r="B1416" s="12">
        <v>1416</v>
      </c>
      <c r="C1416" s="12" t="str">
        <f t="shared" si="22"/>
        <v>Trads1416</v>
      </c>
    </row>
    <row r="1417" spans="1:3">
      <c r="A1417" s="425">
        <v>0</v>
      </c>
      <c r="B1417" s="12">
        <v>1417</v>
      </c>
      <c r="C1417" s="12" t="str">
        <f t="shared" si="22"/>
        <v>Trads1417</v>
      </c>
    </row>
    <row r="1418" spans="1:3">
      <c r="A1418" s="425">
        <v>0</v>
      </c>
      <c r="B1418" s="12">
        <v>1418</v>
      </c>
      <c r="C1418" s="12" t="str">
        <f t="shared" si="22"/>
        <v>Trads1418</v>
      </c>
    </row>
    <row r="1419" spans="1:3">
      <c r="A1419" s="425">
        <v>0</v>
      </c>
      <c r="B1419" s="12">
        <v>1419</v>
      </c>
      <c r="C1419" s="12" t="str">
        <f t="shared" si="22"/>
        <v>Trads1419</v>
      </c>
    </row>
    <row r="1420" spans="1:3">
      <c r="A1420" s="425">
        <v>0</v>
      </c>
      <c r="B1420" s="12">
        <v>1420</v>
      </c>
      <c r="C1420" s="12" t="str">
        <f t="shared" si="22"/>
        <v>Trads1420</v>
      </c>
    </row>
    <row r="1421" spans="1:3">
      <c r="A1421" s="425">
        <v>0</v>
      </c>
      <c r="B1421" s="12">
        <v>1421</v>
      </c>
      <c r="C1421" s="12" t="str">
        <f t="shared" si="22"/>
        <v>Trads1421</v>
      </c>
    </row>
    <row r="1422" spans="1:3">
      <c r="A1422" s="425">
        <v>0</v>
      </c>
      <c r="B1422" s="12">
        <v>1422</v>
      </c>
      <c r="C1422" s="12" t="str">
        <f t="shared" si="22"/>
        <v>Trads1422</v>
      </c>
    </row>
    <row r="1423" spans="1:3">
      <c r="A1423" s="425">
        <v>0</v>
      </c>
      <c r="B1423" s="12">
        <v>1423</v>
      </c>
      <c r="C1423" s="12" t="str">
        <f t="shared" si="22"/>
        <v>Trads1423</v>
      </c>
    </row>
    <row r="1424" spans="1:3">
      <c r="A1424" s="425">
        <v>0</v>
      </c>
      <c r="B1424" s="12">
        <v>1424</v>
      </c>
      <c r="C1424" s="12" t="str">
        <f t="shared" si="22"/>
        <v>Trads1424</v>
      </c>
    </row>
    <row r="1425" spans="1:3">
      <c r="A1425" s="425">
        <v>0</v>
      </c>
      <c r="B1425" s="12">
        <v>1425</v>
      </c>
      <c r="C1425" s="12" t="str">
        <f t="shared" si="22"/>
        <v>Trads1425</v>
      </c>
    </row>
    <row r="1426" spans="1:3">
      <c r="A1426" s="425">
        <v>0</v>
      </c>
      <c r="B1426" s="12">
        <v>1426</v>
      </c>
      <c r="C1426" s="12" t="str">
        <f t="shared" si="22"/>
        <v>Trads1426</v>
      </c>
    </row>
    <row r="1427" spans="1:3">
      <c r="A1427" s="425">
        <v>0</v>
      </c>
      <c r="B1427" s="12">
        <v>1427</v>
      </c>
      <c r="C1427" s="12" t="str">
        <f t="shared" si="22"/>
        <v>Trads1427</v>
      </c>
    </row>
    <row r="1428" spans="1:3">
      <c r="A1428" s="425">
        <v>0</v>
      </c>
      <c r="B1428" s="12">
        <v>1428</v>
      </c>
      <c r="C1428" s="12" t="str">
        <f t="shared" si="22"/>
        <v>Trads1428</v>
      </c>
    </row>
    <row r="1429" spans="1:3">
      <c r="A1429" s="425">
        <v>0</v>
      </c>
      <c r="B1429" s="12">
        <v>1429</v>
      </c>
      <c r="C1429" s="12" t="str">
        <f t="shared" si="22"/>
        <v>Trads1429</v>
      </c>
    </row>
    <row r="1430" spans="1:3">
      <c r="A1430" s="425">
        <v>0</v>
      </c>
      <c r="B1430" s="12">
        <v>1430</v>
      </c>
      <c r="C1430" s="12" t="str">
        <f t="shared" si="22"/>
        <v>Trads1430</v>
      </c>
    </row>
    <row r="1431" spans="1:3">
      <c r="A1431" s="425">
        <v>0</v>
      </c>
      <c r="B1431" s="12">
        <v>1431</v>
      </c>
      <c r="C1431" s="12" t="str">
        <f t="shared" si="22"/>
        <v>Trads1431</v>
      </c>
    </row>
    <row r="1432" spans="1:3">
      <c r="A1432" s="425">
        <v>0</v>
      </c>
      <c r="B1432" s="12">
        <v>1432</v>
      </c>
      <c r="C1432" s="12" t="str">
        <f t="shared" si="22"/>
        <v>Trads1432</v>
      </c>
    </row>
    <row r="1433" spans="1:3">
      <c r="A1433" s="425">
        <v>0</v>
      </c>
      <c r="B1433" s="12">
        <v>1433</v>
      </c>
      <c r="C1433" s="12" t="str">
        <f t="shared" si="22"/>
        <v>Trads1433</v>
      </c>
    </row>
    <row r="1434" spans="1:3">
      <c r="A1434" s="425">
        <v>0</v>
      </c>
      <c r="B1434" s="12">
        <v>1434</v>
      </c>
      <c r="C1434" s="12" t="str">
        <f t="shared" si="22"/>
        <v>Trads1434</v>
      </c>
    </row>
    <row r="1435" spans="1:3">
      <c r="A1435" s="425">
        <v>0</v>
      </c>
      <c r="B1435" s="12">
        <v>1435</v>
      </c>
      <c r="C1435" s="12" t="str">
        <f t="shared" si="22"/>
        <v>Trads1435</v>
      </c>
    </row>
    <row r="1436" spans="1:3">
      <c r="A1436" s="425">
        <v>0</v>
      </c>
      <c r="B1436" s="12">
        <v>1436</v>
      </c>
      <c r="C1436" s="12" t="str">
        <f t="shared" si="22"/>
        <v>Trads1436</v>
      </c>
    </row>
    <row r="1437" spans="1:3">
      <c r="A1437" s="425">
        <v>0</v>
      </c>
      <c r="B1437" s="12">
        <v>1437</v>
      </c>
      <c r="C1437" s="12" t="str">
        <f t="shared" si="22"/>
        <v>Trads1437</v>
      </c>
    </row>
    <row r="1438" spans="1:3">
      <c r="A1438" s="425">
        <v>0</v>
      </c>
      <c r="B1438" s="12">
        <v>1438</v>
      </c>
      <c r="C1438" s="12" t="str">
        <f t="shared" si="22"/>
        <v>Trads1438</v>
      </c>
    </row>
    <row r="1439" spans="1:3">
      <c r="A1439" s="425">
        <v>0</v>
      </c>
      <c r="B1439" s="12">
        <v>1439</v>
      </c>
      <c r="C1439" s="12" t="str">
        <f t="shared" si="22"/>
        <v>Trads1439</v>
      </c>
    </row>
    <row r="1440" spans="1:3">
      <c r="A1440" s="425">
        <v>0</v>
      </c>
      <c r="B1440" s="12">
        <v>1440</v>
      </c>
      <c r="C1440" s="12" t="str">
        <f t="shared" si="22"/>
        <v>Trads1440</v>
      </c>
    </row>
    <row r="1441" spans="1:3">
      <c r="A1441" s="425">
        <v>0</v>
      </c>
      <c r="B1441" s="12">
        <v>1441</v>
      </c>
      <c r="C1441" s="12" t="str">
        <f t="shared" si="22"/>
        <v>Trads1441</v>
      </c>
    </row>
    <row r="1442" spans="1:3">
      <c r="A1442" s="425">
        <v>0</v>
      </c>
      <c r="B1442" s="12">
        <v>1442</v>
      </c>
      <c r="C1442" s="12" t="str">
        <f t="shared" si="22"/>
        <v>Trads1442</v>
      </c>
    </row>
    <row r="1443" spans="1:3">
      <c r="A1443" s="425">
        <v>0</v>
      </c>
      <c r="B1443" s="12">
        <v>1443</v>
      </c>
      <c r="C1443" s="12" t="str">
        <f t="shared" si="22"/>
        <v>Trads1443</v>
      </c>
    </row>
    <row r="1444" spans="1:3">
      <c r="A1444" s="425">
        <v>0</v>
      </c>
      <c r="B1444" s="12">
        <v>1444</v>
      </c>
      <c r="C1444" s="12" t="str">
        <f t="shared" si="22"/>
        <v>Trads1444</v>
      </c>
    </row>
    <row r="1445" spans="1:3">
      <c r="A1445" s="425">
        <v>0</v>
      </c>
      <c r="B1445" s="12">
        <v>1445</v>
      </c>
      <c r="C1445" s="12" t="str">
        <f t="shared" si="22"/>
        <v>Trads1445</v>
      </c>
    </row>
    <row r="1446" spans="1:3">
      <c r="A1446" s="425">
        <v>0</v>
      </c>
      <c r="B1446" s="12">
        <v>1446</v>
      </c>
      <c r="C1446" s="12" t="str">
        <f t="shared" si="22"/>
        <v>Trads1446</v>
      </c>
    </row>
    <row r="1447" spans="1:3">
      <c r="A1447" s="425">
        <v>0</v>
      </c>
      <c r="B1447" s="12">
        <v>1447</v>
      </c>
      <c r="C1447" s="12" t="str">
        <f t="shared" si="22"/>
        <v>Trads1447</v>
      </c>
    </row>
    <row r="1448" spans="1:3">
      <c r="A1448" s="425">
        <v>0</v>
      </c>
      <c r="B1448" s="12">
        <v>1448</v>
      </c>
      <c r="C1448" s="12" t="str">
        <f t="shared" si="22"/>
        <v>Trads1448</v>
      </c>
    </row>
    <row r="1449" spans="1:3">
      <c r="A1449" s="425">
        <v>0</v>
      </c>
      <c r="B1449" s="12">
        <v>1449</v>
      </c>
      <c r="C1449" s="12" t="str">
        <f t="shared" si="22"/>
        <v>Trads1449</v>
      </c>
    </row>
    <row r="1450" spans="1:3">
      <c r="A1450" s="425">
        <v>0</v>
      </c>
      <c r="B1450" s="12">
        <v>1450</v>
      </c>
      <c r="C1450" s="12" t="str">
        <f t="shared" si="22"/>
        <v>Trads1450</v>
      </c>
    </row>
    <row r="1451" spans="1:3">
      <c r="A1451" s="425">
        <v>0</v>
      </c>
      <c r="B1451" s="12">
        <v>1451</v>
      </c>
      <c r="C1451" s="12" t="str">
        <f t="shared" si="22"/>
        <v>Trads1451</v>
      </c>
    </row>
    <row r="1452" spans="1:3">
      <c r="A1452" s="425">
        <v>0</v>
      </c>
      <c r="B1452" s="12">
        <v>1452</v>
      </c>
      <c r="C1452" s="12" t="str">
        <f t="shared" si="22"/>
        <v>Trads1452</v>
      </c>
    </row>
    <row r="1453" spans="1:3">
      <c r="A1453" s="425">
        <v>0</v>
      </c>
      <c r="B1453" s="12">
        <v>1453</v>
      </c>
      <c r="C1453" s="12" t="str">
        <f t="shared" si="22"/>
        <v>Trads1453</v>
      </c>
    </row>
    <row r="1454" spans="1:3">
      <c r="A1454" s="425">
        <v>0</v>
      </c>
      <c r="B1454" s="12">
        <v>1454</v>
      </c>
      <c r="C1454" s="12" t="str">
        <f t="shared" si="22"/>
        <v>Trads1454</v>
      </c>
    </row>
    <row r="1455" spans="1:3">
      <c r="A1455" s="425">
        <v>0</v>
      </c>
      <c r="B1455" s="12">
        <v>1455</v>
      </c>
      <c r="C1455" s="12" t="str">
        <f t="shared" si="22"/>
        <v>Trads1455</v>
      </c>
    </row>
    <row r="1456" spans="1:3">
      <c r="A1456" s="425">
        <v>0</v>
      </c>
      <c r="B1456" s="12">
        <v>1456</v>
      </c>
      <c r="C1456" s="12" t="str">
        <f t="shared" si="22"/>
        <v>Trads1456</v>
      </c>
    </row>
    <row r="1457" spans="1:3">
      <c r="A1457" s="425">
        <v>0</v>
      </c>
      <c r="B1457" s="12">
        <v>1457</v>
      </c>
      <c r="C1457" s="12" t="str">
        <f t="shared" si="22"/>
        <v>Trads1457</v>
      </c>
    </row>
    <row r="1458" spans="1:3">
      <c r="A1458" s="425">
        <v>0</v>
      </c>
      <c r="B1458" s="12">
        <v>1458</v>
      </c>
      <c r="C1458" s="12" t="str">
        <f t="shared" si="22"/>
        <v>Trads1458</v>
      </c>
    </row>
    <row r="1459" spans="1:3">
      <c r="A1459" s="425">
        <v>0</v>
      </c>
      <c r="B1459" s="12">
        <v>1459</v>
      </c>
      <c r="C1459" s="12" t="str">
        <f t="shared" si="22"/>
        <v>Trads1459</v>
      </c>
    </row>
    <row r="1460" spans="1:3">
      <c r="A1460" s="425">
        <v>0</v>
      </c>
      <c r="B1460" s="12">
        <v>1460</v>
      </c>
      <c r="C1460" s="12" t="str">
        <f t="shared" si="22"/>
        <v>Trads1460</v>
      </c>
    </row>
    <row r="1461" spans="1:3">
      <c r="A1461" s="425">
        <v>0</v>
      </c>
      <c r="B1461" s="12">
        <v>1461</v>
      </c>
      <c r="C1461" s="12" t="str">
        <f t="shared" si="22"/>
        <v>Trads1461</v>
      </c>
    </row>
    <row r="1462" spans="1:3">
      <c r="A1462" s="425">
        <v>0</v>
      </c>
      <c r="B1462" s="12">
        <v>1462</v>
      </c>
      <c r="C1462" s="12" t="str">
        <f t="shared" si="22"/>
        <v>Trads1462</v>
      </c>
    </row>
    <row r="1463" spans="1:3">
      <c r="A1463" s="425">
        <v>0</v>
      </c>
      <c r="B1463" s="12">
        <v>1463</v>
      </c>
      <c r="C1463" s="12" t="str">
        <f t="shared" si="22"/>
        <v>Trads1463</v>
      </c>
    </row>
    <row r="1464" spans="1:3">
      <c r="A1464" s="425">
        <v>0</v>
      </c>
      <c r="B1464" s="12">
        <v>1464</v>
      </c>
      <c r="C1464" s="12" t="str">
        <f t="shared" si="22"/>
        <v>Trads1464</v>
      </c>
    </row>
    <row r="1465" spans="1:3">
      <c r="A1465" s="425">
        <v>0</v>
      </c>
      <c r="B1465" s="12">
        <v>1465</v>
      </c>
      <c r="C1465" s="12" t="str">
        <f t="shared" si="22"/>
        <v>Trads1465</v>
      </c>
    </row>
    <row r="1466" spans="1:3">
      <c r="A1466" s="425">
        <v>0</v>
      </c>
      <c r="B1466" s="12">
        <v>1466</v>
      </c>
      <c r="C1466" s="12" t="str">
        <f t="shared" si="22"/>
        <v>Trads1466</v>
      </c>
    </row>
    <row r="1467" spans="1:3">
      <c r="A1467" s="425">
        <v>0</v>
      </c>
      <c r="B1467" s="12">
        <v>1467</v>
      </c>
      <c r="C1467" s="12" t="str">
        <f t="shared" si="22"/>
        <v>Trads1467</v>
      </c>
    </row>
    <row r="1468" spans="1:3">
      <c r="A1468" s="425">
        <v>0</v>
      </c>
      <c r="B1468" s="12">
        <v>1468</v>
      </c>
      <c r="C1468" s="12" t="str">
        <f t="shared" si="22"/>
        <v>Trads1468</v>
      </c>
    </row>
    <row r="1469" spans="1:3">
      <c r="A1469" s="425">
        <v>0</v>
      </c>
      <c r="B1469" s="12">
        <v>1469</v>
      </c>
      <c r="C1469" s="12" t="str">
        <f t="shared" si="22"/>
        <v>Trads1469</v>
      </c>
    </row>
    <row r="1470" spans="1:3">
      <c r="A1470" s="425">
        <v>0</v>
      </c>
      <c r="B1470" s="12">
        <v>1470</v>
      </c>
      <c r="C1470" s="12" t="str">
        <f t="shared" si="22"/>
        <v>Trads1470</v>
      </c>
    </row>
    <row r="1471" spans="1:3">
      <c r="A1471" s="425">
        <v>0</v>
      </c>
      <c r="B1471" s="12">
        <v>1471</v>
      </c>
      <c r="C1471" s="12" t="str">
        <f t="shared" si="22"/>
        <v>Trads1471</v>
      </c>
    </row>
    <row r="1472" spans="1:3">
      <c r="A1472" s="425">
        <v>0</v>
      </c>
      <c r="B1472" s="12">
        <v>1472</v>
      </c>
      <c r="C1472" s="12" t="str">
        <f t="shared" si="22"/>
        <v>Trads1472</v>
      </c>
    </row>
    <row r="1473" spans="1:3">
      <c r="A1473" s="425">
        <v>0</v>
      </c>
      <c r="B1473" s="12">
        <v>1473</v>
      </c>
      <c r="C1473" s="12" t="str">
        <f t="shared" si="22"/>
        <v>Trads1473</v>
      </c>
    </row>
    <row r="1474" spans="1:3">
      <c r="A1474" s="425">
        <v>0</v>
      </c>
      <c r="B1474" s="12">
        <v>1474</v>
      </c>
      <c r="C1474" s="12" t="str">
        <f t="shared" si="22"/>
        <v>Trads1474</v>
      </c>
    </row>
    <row r="1475" spans="1:3">
      <c r="A1475" s="425">
        <v>0</v>
      </c>
      <c r="B1475" s="12">
        <v>1475</v>
      </c>
      <c r="C1475" s="12" t="str">
        <f t="shared" ref="C1475:C1501" si="23">+_xlfn.CONCAT("Trads",B1475)</f>
        <v>Trads1475</v>
      </c>
    </row>
    <row r="1476" spans="1:3">
      <c r="A1476" s="425">
        <v>0</v>
      </c>
      <c r="B1476" s="12">
        <v>1476</v>
      </c>
      <c r="C1476" s="12" t="str">
        <f t="shared" si="23"/>
        <v>Trads1476</v>
      </c>
    </row>
    <row r="1477" spans="1:3">
      <c r="A1477" s="425">
        <v>0</v>
      </c>
      <c r="B1477" s="12">
        <v>1477</v>
      </c>
      <c r="C1477" s="12" t="str">
        <f t="shared" si="23"/>
        <v>Trads1477</v>
      </c>
    </row>
    <row r="1478" spans="1:3">
      <c r="A1478" s="425">
        <v>0</v>
      </c>
      <c r="B1478" s="12">
        <v>1478</v>
      </c>
      <c r="C1478" s="12" t="str">
        <f t="shared" si="23"/>
        <v>Trads1478</v>
      </c>
    </row>
    <row r="1479" spans="1:3">
      <c r="A1479" s="425">
        <v>0</v>
      </c>
      <c r="B1479" s="12">
        <v>1479</v>
      </c>
      <c r="C1479" s="12" t="str">
        <f t="shared" si="23"/>
        <v>Trads1479</v>
      </c>
    </row>
    <row r="1480" spans="1:3">
      <c r="A1480" s="425">
        <v>0</v>
      </c>
      <c r="B1480" s="12">
        <v>1480</v>
      </c>
      <c r="C1480" s="12" t="str">
        <f t="shared" si="23"/>
        <v>Trads1480</v>
      </c>
    </row>
    <row r="1481" spans="1:3">
      <c r="A1481" s="425">
        <v>0</v>
      </c>
      <c r="B1481" s="12">
        <v>1481</v>
      </c>
      <c r="C1481" s="12" t="str">
        <f t="shared" si="23"/>
        <v>Trads1481</v>
      </c>
    </row>
    <row r="1482" spans="1:3">
      <c r="A1482" s="425">
        <v>0</v>
      </c>
      <c r="B1482" s="12">
        <v>1482</v>
      </c>
      <c r="C1482" s="12" t="str">
        <f t="shared" si="23"/>
        <v>Trads1482</v>
      </c>
    </row>
    <row r="1483" spans="1:3">
      <c r="A1483" s="425">
        <v>0</v>
      </c>
      <c r="B1483" s="12">
        <v>1483</v>
      </c>
      <c r="C1483" s="12" t="str">
        <f t="shared" si="23"/>
        <v>Trads1483</v>
      </c>
    </row>
    <row r="1484" spans="1:3">
      <c r="A1484" s="425">
        <v>0</v>
      </c>
      <c r="B1484" s="12">
        <v>1484</v>
      </c>
      <c r="C1484" s="12" t="str">
        <f t="shared" si="23"/>
        <v>Trads1484</v>
      </c>
    </row>
    <row r="1485" spans="1:3">
      <c r="A1485" s="425">
        <v>0</v>
      </c>
      <c r="B1485" s="12">
        <v>1485</v>
      </c>
      <c r="C1485" s="12" t="str">
        <f t="shared" si="23"/>
        <v>Trads1485</v>
      </c>
    </row>
    <row r="1486" spans="1:3">
      <c r="A1486" s="425">
        <v>0</v>
      </c>
      <c r="B1486" s="12">
        <v>1486</v>
      </c>
      <c r="C1486" s="12" t="str">
        <f t="shared" si="23"/>
        <v>Trads1486</v>
      </c>
    </row>
    <row r="1487" spans="1:3">
      <c r="A1487" s="425">
        <v>0</v>
      </c>
      <c r="B1487" s="12">
        <v>1487</v>
      </c>
      <c r="C1487" s="12" t="str">
        <f t="shared" si="23"/>
        <v>Trads1487</v>
      </c>
    </row>
    <row r="1488" spans="1:3">
      <c r="A1488" s="425">
        <v>0</v>
      </c>
      <c r="B1488" s="12">
        <v>1488</v>
      </c>
      <c r="C1488" s="12" t="str">
        <f t="shared" si="23"/>
        <v>Trads1488</v>
      </c>
    </row>
    <row r="1489" spans="1:3">
      <c r="A1489" s="425">
        <v>0</v>
      </c>
      <c r="B1489" s="12">
        <v>1489</v>
      </c>
      <c r="C1489" s="12" t="str">
        <f t="shared" si="23"/>
        <v>Trads1489</v>
      </c>
    </row>
    <row r="1490" spans="1:3">
      <c r="A1490" s="425">
        <v>0</v>
      </c>
      <c r="B1490" s="12">
        <v>1490</v>
      </c>
      <c r="C1490" s="12" t="str">
        <f t="shared" si="23"/>
        <v>Trads1490</v>
      </c>
    </row>
    <row r="1491" spans="1:3">
      <c r="A1491" s="425">
        <v>0</v>
      </c>
      <c r="B1491" s="12">
        <v>1491</v>
      </c>
      <c r="C1491" s="12" t="str">
        <f t="shared" si="23"/>
        <v>Trads1491</v>
      </c>
    </row>
    <row r="1492" spans="1:3">
      <c r="A1492" s="425">
        <v>0</v>
      </c>
      <c r="B1492" s="12">
        <v>1492</v>
      </c>
      <c r="C1492" s="12" t="str">
        <f t="shared" si="23"/>
        <v>Trads1492</v>
      </c>
    </row>
    <row r="1493" spans="1:3">
      <c r="A1493" s="425">
        <v>0</v>
      </c>
      <c r="B1493" s="12">
        <v>1493</v>
      </c>
      <c r="C1493" s="12" t="str">
        <f t="shared" si="23"/>
        <v>Trads1493</v>
      </c>
    </row>
    <row r="1494" spans="1:3">
      <c r="A1494" s="425">
        <v>0</v>
      </c>
      <c r="B1494" s="12">
        <v>1494</v>
      </c>
      <c r="C1494" s="12" t="str">
        <f t="shared" si="23"/>
        <v>Trads1494</v>
      </c>
    </row>
    <row r="1495" spans="1:3">
      <c r="A1495" s="425">
        <v>0</v>
      </c>
      <c r="B1495" s="12">
        <v>1495</v>
      </c>
      <c r="C1495" s="12" t="str">
        <f t="shared" si="23"/>
        <v>Trads1495</v>
      </c>
    </row>
    <row r="1496" spans="1:3">
      <c r="A1496" s="425">
        <v>0</v>
      </c>
      <c r="B1496" s="12">
        <v>1496</v>
      </c>
      <c r="C1496" s="12" t="str">
        <f t="shared" si="23"/>
        <v>Trads1496</v>
      </c>
    </row>
    <row r="1497" spans="1:3">
      <c r="A1497" s="425">
        <v>0</v>
      </c>
      <c r="B1497" s="12">
        <v>1497</v>
      </c>
      <c r="C1497" s="12" t="str">
        <f t="shared" si="23"/>
        <v>Trads1497</v>
      </c>
    </row>
    <row r="1498" spans="1:3">
      <c r="A1498" s="425">
        <v>0</v>
      </c>
      <c r="B1498" s="12">
        <v>1498</v>
      </c>
      <c r="C1498" s="12" t="str">
        <f t="shared" si="23"/>
        <v>Trads1498</v>
      </c>
    </row>
    <row r="1499" spans="1:3">
      <c r="A1499" s="425">
        <v>0</v>
      </c>
      <c r="B1499" s="12">
        <v>1499</v>
      </c>
      <c r="C1499" s="12" t="str">
        <f t="shared" si="23"/>
        <v>Trads1499</v>
      </c>
    </row>
    <row r="1500" spans="1:3">
      <c r="A1500" s="425">
        <v>0</v>
      </c>
      <c r="B1500" s="12">
        <v>1500</v>
      </c>
      <c r="C1500" s="12" t="str">
        <f t="shared" si="23"/>
        <v>Trads1500</v>
      </c>
    </row>
    <row r="1501" spans="1:3">
      <c r="C1501" s="12" t="str">
        <f t="shared" si="23"/>
        <v>Trads</v>
      </c>
    </row>
  </sheetData>
  <sheetProtection algorithmName="SHA-512" hashValue="fwHQovf2h2w9kRkv4dlQ91FynUR/zEdXUPWRdjui9AeGBAPRfUDeaYxu2I63AG2K5Z0eWxiPd+HjhG8pM4IFoA==" saltValue="QICP3AX2bJ8OhE0faqGXMA==" spinCount="100000" sheet="1" objects="1" scenarios="1"/>
  <autoFilter ref="A1:A1501" xr:uid="{A4B1F45A-62BE-43AB-B14D-169DCB47DFBB}"/>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8AD6-AC30-4EDB-A04C-D370AE97C4CE}">
  <sheetPr codeName="Foglio2">
    <pageSetUpPr fitToPage="1"/>
  </sheetPr>
  <dimension ref="A1:V800"/>
  <sheetViews>
    <sheetView zoomScaleNormal="100" workbookViewId="0">
      <pane xSplit="3" ySplit="1" topLeftCell="G523" activePane="bottomRight" state="frozen"/>
      <selection pane="topRight" activeCell="D1" sqref="D1"/>
      <selection pane="bottomLeft" activeCell="A2" sqref="A2"/>
      <selection pane="bottomRight" activeCell="G375" sqref="G375"/>
    </sheetView>
  </sheetViews>
  <sheetFormatPr defaultColWidth="9" defaultRowHeight="12.75"/>
  <cols>
    <col min="1" max="1" width="5.625" style="448" bestFit="1" customWidth="1"/>
    <col min="2" max="2" width="7.625" style="448" bestFit="1" customWidth="1"/>
    <col min="3" max="3" width="45.75" style="449" bestFit="1" customWidth="1"/>
    <col min="4" max="4" width="57.875" style="448" hidden="1" customWidth="1"/>
    <col min="5" max="5" width="36.75" style="448" hidden="1" customWidth="1"/>
    <col min="6" max="6" width="41.25" style="448" hidden="1" customWidth="1"/>
    <col min="7" max="7" width="52.875" style="448" bestFit="1" customWidth="1"/>
    <col min="8" max="8" width="34.875" style="448" hidden="1" customWidth="1"/>
    <col min="9" max="9" width="49.5" style="448" hidden="1" customWidth="1"/>
    <col min="10" max="10" width="50.375" style="451" bestFit="1" customWidth="1"/>
    <col min="11" max="11" width="47.375" style="448" hidden="1" customWidth="1"/>
    <col min="12" max="12" width="51.25" style="448" hidden="1" customWidth="1"/>
    <col min="13" max="13" width="51.875" style="448" hidden="1" customWidth="1"/>
    <col min="14" max="14" width="45" style="448" hidden="1" customWidth="1"/>
    <col min="15" max="15" width="57" style="448" hidden="1" customWidth="1"/>
    <col min="16" max="16" width="47.75" style="448" hidden="1" customWidth="1"/>
    <col min="17" max="17" width="53.5" style="448" hidden="1" customWidth="1"/>
    <col min="18" max="18" width="51.5" style="448" bestFit="1" customWidth="1"/>
    <col min="19" max="19" width="44" style="448" hidden="1" customWidth="1"/>
    <col min="20" max="20" width="49.375" style="448" bestFit="1" customWidth="1"/>
    <col min="21" max="21" width="50.75" style="448" hidden="1" customWidth="1"/>
    <col min="22" max="22" width="58.625" style="448" hidden="1" customWidth="1"/>
    <col min="23" max="16384" width="9" style="448"/>
  </cols>
  <sheetData>
    <row r="1" spans="1:22" ht="15">
      <c r="A1" s="442" t="s">
        <v>407</v>
      </c>
      <c r="B1" s="442"/>
      <c r="C1" s="443" t="s">
        <v>385</v>
      </c>
      <c r="D1" s="442" t="s">
        <v>386</v>
      </c>
      <c r="E1" s="442" t="s">
        <v>388</v>
      </c>
      <c r="F1" s="442" t="s">
        <v>389</v>
      </c>
      <c r="G1" s="442" t="s">
        <v>387</v>
      </c>
      <c r="H1" s="444" t="s">
        <v>408</v>
      </c>
      <c r="I1" s="444" t="s">
        <v>393</v>
      </c>
      <c r="J1" s="445" t="s">
        <v>0</v>
      </c>
      <c r="K1" s="446" t="s">
        <v>394</v>
      </c>
      <c r="L1" s="442" t="s">
        <v>395</v>
      </c>
      <c r="M1" s="442" t="s">
        <v>396</v>
      </c>
      <c r="N1" s="442" t="s">
        <v>397</v>
      </c>
      <c r="O1" s="442" t="s">
        <v>398</v>
      </c>
      <c r="P1" s="442" t="s">
        <v>399</v>
      </c>
      <c r="Q1" s="442" t="s">
        <v>400</v>
      </c>
      <c r="R1" s="447" t="s">
        <v>390</v>
      </c>
      <c r="S1" s="442" t="s">
        <v>401</v>
      </c>
      <c r="T1" s="447" t="s">
        <v>391</v>
      </c>
      <c r="U1" s="442" t="s">
        <v>402</v>
      </c>
      <c r="V1" s="442" t="s">
        <v>403</v>
      </c>
    </row>
    <row r="2" spans="1:22" ht="14.25">
      <c r="A2" s="448">
        <v>2</v>
      </c>
      <c r="B2" s="448" t="str">
        <f t="shared" ref="B2:B65" si="0">+_xlfn.CONCAT("Trad",A2)</f>
        <v>Trad2</v>
      </c>
      <c r="C2" s="449" t="s">
        <v>409</v>
      </c>
      <c r="D2" s="450" t="s">
        <v>410</v>
      </c>
      <c r="E2" s="448" t="s">
        <v>411</v>
      </c>
      <c r="F2" s="448" t="s">
        <v>412</v>
      </c>
      <c r="G2" s="448" t="s">
        <v>413</v>
      </c>
      <c r="H2" s="448" t="s">
        <v>414</v>
      </c>
      <c r="I2" s="448" t="s">
        <v>415</v>
      </c>
      <c r="J2" s="451" t="s">
        <v>416</v>
      </c>
      <c r="K2" s="448" t="s">
        <v>417</v>
      </c>
      <c r="L2" s="452" t="s">
        <v>418</v>
      </c>
      <c r="M2" s="448" t="s">
        <v>419</v>
      </c>
      <c r="N2" s="448" t="s">
        <v>420</v>
      </c>
      <c r="O2" s="448" t="s">
        <v>421</v>
      </c>
      <c r="P2" s="448" t="s">
        <v>410</v>
      </c>
      <c r="Q2" s="448" t="s">
        <v>410</v>
      </c>
      <c r="R2" s="453" t="s">
        <v>422</v>
      </c>
      <c r="S2" s="448" t="s">
        <v>423</v>
      </c>
      <c r="T2" s="448" t="s">
        <v>424</v>
      </c>
      <c r="U2" s="448" t="s">
        <v>425</v>
      </c>
      <c r="V2" s="448" t="s">
        <v>426</v>
      </c>
    </row>
    <row r="3" spans="1:22" ht="14.25">
      <c r="A3" s="448">
        <v>3</v>
      </c>
      <c r="B3" s="448" t="str">
        <f t="shared" si="0"/>
        <v>Trad3</v>
      </c>
      <c r="C3" s="449" t="s">
        <v>427</v>
      </c>
      <c r="D3" s="448" t="s">
        <v>428</v>
      </c>
      <c r="E3" s="448" t="s">
        <v>429</v>
      </c>
      <c r="F3" s="448" t="s">
        <v>430</v>
      </c>
      <c r="G3" s="448" t="s">
        <v>431</v>
      </c>
      <c r="H3" s="448" t="s">
        <v>432</v>
      </c>
      <c r="I3" s="448" t="s">
        <v>433</v>
      </c>
      <c r="J3" s="451" t="s">
        <v>434</v>
      </c>
      <c r="K3" s="448" t="s">
        <v>435</v>
      </c>
      <c r="L3" s="452" t="s">
        <v>436</v>
      </c>
      <c r="M3" s="448" t="s">
        <v>437</v>
      </c>
      <c r="N3" s="448" t="s">
        <v>438</v>
      </c>
      <c r="O3" s="448" t="s">
        <v>439</v>
      </c>
      <c r="P3" s="448" t="s">
        <v>440</v>
      </c>
      <c r="Q3" s="448" t="s">
        <v>441</v>
      </c>
      <c r="R3" s="453" t="s">
        <v>442</v>
      </c>
      <c r="S3" s="448" t="s">
        <v>443</v>
      </c>
      <c r="T3" s="448" t="s">
        <v>444</v>
      </c>
      <c r="U3" s="448" t="s">
        <v>445</v>
      </c>
      <c r="V3" s="448" t="s">
        <v>446</v>
      </c>
    </row>
    <row r="4" spans="1:22" ht="14.25">
      <c r="A4" s="448">
        <v>4</v>
      </c>
      <c r="B4" s="448" t="str">
        <f t="shared" si="0"/>
        <v>Trad4</v>
      </c>
      <c r="C4" s="449" t="s">
        <v>447</v>
      </c>
      <c r="D4" s="448" t="s">
        <v>448</v>
      </c>
      <c r="E4" s="448" t="s">
        <v>449</v>
      </c>
      <c r="F4" s="448" t="s">
        <v>450</v>
      </c>
      <c r="G4" s="448" t="s">
        <v>451</v>
      </c>
      <c r="H4" s="448" t="s">
        <v>452</v>
      </c>
      <c r="I4" s="448" t="s">
        <v>453</v>
      </c>
      <c r="J4" s="451" t="s">
        <v>454</v>
      </c>
      <c r="K4" s="448" t="s">
        <v>455</v>
      </c>
      <c r="L4" s="452" t="s">
        <v>456</v>
      </c>
      <c r="M4" s="448" t="s">
        <v>457</v>
      </c>
      <c r="N4" s="448" t="s">
        <v>458</v>
      </c>
      <c r="O4" s="448" t="s">
        <v>459</v>
      </c>
      <c r="P4" s="448" t="s">
        <v>448</v>
      </c>
      <c r="Q4" s="448" t="s">
        <v>450</v>
      </c>
      <c r="R4" s="453" t="s">
        <v>457</v>
      </c>
      <c r="S4" s="448" t="s">
        <v>460</v>
      </c>
      <c r="T4" s="448" t="s">
        <v>461</v>
      </c>
      <c r="U4" s="448" t="s">
        <v>462</v>
      </c>
      <c r="V4" s="448" t="s">
        <v>463</v>
      </c>
    </row>
    <row r="5" spans="1:22" ht="14.25">
      <c r="A5" s="448">
        <v>5</v>
      </c>
      <c r="B5" s="448" t="str">
        <f t="shared" si="0"/>
        <v>Trad5</v>
      </c>
      <c r="C5" s="449" t="s">
        <v>464</v>
      </c>
      <c r="D5" s="448" t="s">
        <v>465</v>
      </c>
      <c r="E5" s="448" t="s">
        <v>466</v>
      </c>
      <c r="F5" s="448" t="s">
        <v>464</v>
      </c>
      <c r="G5" s="448" t="s">
        <v>467</v>
      </c>
      <c r="H5" s="448" t="s">
        <v>468</v>
      </c>
      <c r="I5" s="448" t="s">
        <v>469</v>
      </c>
      <c r="J5" s="451" t="s">
        <v>470</v>
      </c>
      <c r="K5" s="448" t="s">
        <v>471</v>
      </c>
      <c r="L5" s="452" t="s">
        <v>472</v>
      </c>
      <c r="M5" s="448" t="s">
        <v>473</v>
      </c>
      <c r="N5" s="448" t="s">
        <v>474</v>
      </c>
      <c r="O5" s="448" t="s">
        <v>475</v>
      </c>
      <c r="P5" s="448" t="s">
        <v>476</v>
      </c>
      <c r="Q5" s="448" t="s">
        <v>464</v>
      </c>
      <c r="R5" s="453" t="s">
        <v>477</v>
      </c>
      <c r="S5" s="448" t="s">
        <v>464</v>
      </c>
      <c r="T5" s="448" t="s">
        <v>478</v>
      </c>
      <c r="U5" s="448" t="s">
        <v>479</v>
      </c>
      <c r="V5" s="448" t="s">
        <v>480</v>
      </c>
    </row>
    <row r="6" spans="1:22" ht="14.25">
      <c r="A6" s="448">
        <v>6</v>
      </c>
      <c r="B6" s="448" t="str">
        <f t="shared" si="0"/>
        <v>Trad6</v>
      </c>
      <c r="C6" s="449" t="s">
        <v>481</v>
      </c>
      <c r="D6" s="450" t="s">
        <v>482</v>
      </c>
      <c r="E6" s="448" t="s">
        <v>483</v>
      </c>
      <c r="F6" s="448" t="s">
        <v>482</v>
      </c>
      <c r="G6" s="448" t="s">
        <v>484</v>
      </c>
      <c r="H6" s="448" t="s">
        <v>485</v>
      </c>
      <c r="I6" s="448" t="s">
        <v>486</v>
      </c>
      <c r="J6" s="451" t="s">
        <v>487</v>
      </c>
      <c r="K6" s="448" t="s">
        <v>488</v>
      </c>
      <c r="L6" s="452" t="s">
        <v>489</v>
      </c>
      <c r="M6" s="448" t="s">
        <v>490</v>
      </c>
      <c r="N6" s="448" t="s">
        <v>491</v>
      </c>
      <c r="O6" s="448" t="s">
        <v>492</v>
      </c>
      <c r="P6" s="448" t="s">
        <v>493</v>
      </c>
      <c r="Q6" s="448" t="s">
        <v>494</v>
      </c>
      <c r="R6" s="453" t="s">
        <v>495</v>
      </c>
      <c r="S6" s="448" t="s">
        <v>482</v>
      </c>
      <c r="T6" s="448" t="s">
        <v>482</v>
      </c>
      <c r="U6" s="448" t="s">
        <v>496</v>
      </c>
      <c r="V6" s="448" t="s">
        <v>482</v>
      </c>
    </row>
    <row r="7" spans="1:22" ht="14.25">
      <c r="A7" s="448">
        <v>7</v>
      </c>
      <c r="B7" s="448" t="str">
        <f t="shared" si="0"/>
        <v>Trad7</v>
      </c>
      <c r="C7" s="449" t="s">
        <v>497</v>
      </c>
      <c r="D7" s="448" t="s">
        <v>498</v>
      </c>
      <c r="E7" s="448" t="s">
        <v>499</v>
      </c>
      <c r="F7" s="448" t="s">
        <v>500</v>
      </c>
      <c r="G7" s="448" t="s">
        <v>501</v>
      </c>
      <c r="H7" s="448" t="s">
        <v>502</v>
      </c>
      <c r="I7" s="448" t="s">
        <v>503</v>
      </c>
      <c r="J7" s="451" t="s">
        <v>501</v>
      </c>
      <c r="K7" s="450" t="s">
        <v>504</v>
      </c>
      <c r="L7" s="452" t="s">
        <v>505</v>
      </c>
      <c r="M7" s="448" t="s">
        <v>506</v>
      </c>
      <c r="N7" s="448" t="s">
        <v>507</v>
      </c>
      <c r="O7" s="448" t="s">
        <v>508</v>
      </c>
      <c r="P7" s="448" t="s">
        <v>509</v>
      </c>
      <c r="Q7" s="448" t="s">
        <v>510</v>
      </c>
      <c r="R7" s="453" t="s">
        <v>511</v>
      </c>
      <c r="S7" s="448" t="s">
        <v>512</v>
      </c>
      <c r="T7" s="448" t="s">
        <v>513</v>
      </c>
      <c r="U7" s="448" t="s">
        <v>514</v>
      </c>
      <c r="V7" s="448" t="s">
        <v>515</v>
      </c>
    </row>
    <row r="8" spans="1:22" ht="14.25">
      <c r="A8" s="448">
        <v>8</v>
      </c>
      <c r="B8" s="448" t="str">
        <f t="shared" si="0"/>
        <v>Trad8</v>
      </c>
      <c r="C8" s="449" t="s">
        <v>516</v>
      </c>
      <c r="D8" s="448" t="s">
        <v>517</v>
      </c>
      <c r="E8" s="448" t="s">
        <v>518</v>
      </c>
      <c r="F8" s="448" t="s">
        <v>519</v>
      </c>
      <c r="G8" s="448" t="s">
        <v>520</v>
      </c>
      <c r="H8" s="448" t="s">
        <v>521</v>
      </c>
      <c r="I8" s="448" t="s">
        <v>522</v>
      </c>
      <c r="J8" s="451" t="s">
        <v>523</v>
      </c>
      <c r="K8" s="448" t="s">
        <v>524</v>
      </c>
      <c r="L8" s="454" t="s">
        <v>525</v>
      </c>
      <c r="M8" s="448" t="s">
        <v>526</v>
      </c>
      <c r="N8" s="448" t="s">
        <v>527</v>
      </c>
      <c r="O8" s="448" t="s">
        <v>528</v>
      </c>
      <c r="P8" s="448" t="s">
        <v>529</v>
      </c>
      <c r="Q8" s="448" t="s">
        <v>530</v>
      </c>
      <c r="R8" s="453" t="s">
        <v>531</v>
      </c>
      <c r="S8" s="448" t="s">
        <v>532</v>
      </c>
      <c r="T8" s="448" t="s">
        <v>533</v>
      </c>
      <c r="U8" s="448" t="s">
        <v>534</v>
      </c>
      <c r="V8" s="448" t="s">
        <v>535</v>
      </c>
    </row>
    <row r="9" spans="1:22" ht="14.25">
      <c r="A9" s="448">
        <v>9</v>
      </c>
      <c r="B9" s="448" t="str">
        <f t="shared" si="0"/>
        <v>Trad9</v>
      </c>
      <c r="C9" s="449" t="s">
        <v>536</v>
      </c>
      <c r="D9" s="448" t="s">
        <v>537</v>
      </c>
      <c r="E9" s="448" t="s">
        <v>538</v>
      </c>
      <c r="F9" s="448" t="s">
        <v>539</v>
      </c>
      <c r="G9" s="448" t="s">
        <v>540</v>
      </c>
      <c r="H9" s="448" t="s">
        <v>541</v>
      </c>
      <c r="I9" s="448" t="s">
        <v>542</v>
      </c>
      <c r="J9" s="451" t="s">
        <v>543</v>
      </c>
      <c r="K9" s="448" t="s">
        <v>544</v>
      </c>
      <c r="L9" s="452" t="s">
        <v>545</v>
      </c>
      <c r="M9" s="448" t="s">
        <v>546</v>
      </c>
      <c r="N9" s="448" t="s">
        <v>547</v>
      </c>
      <c r="O9" s="448" t="s">
        <v>548</v>
      </c>
      <c r="P9" s="448" t="s">
        <v>537</v>
      </c>
      <c r="Q9" s="448" t="s">
        <v>549</v>
      </c>
      <c r="R9" s="453" t="s">
        <v>550</v>
      </c>
      <c r="S9" s="448" t="s">
        <v>551</v>
      </c>
      <c r="T9" s="448" t="s">
        <v>552</v>
      </c>
      <c r="U9" s="448" t="s">
        <v>553</v>
      </c>
      <c r="V9" s="448" t="s">
        <v>554</v>
      </c>
    </row>
    <row r="10" spans="1:22" ht="14.25">
      <c r="A10" s="448">
        <v>10</v>
      </c>
      <c r="B10" s="448" t="str">
        <f t="shared" si="0"/>
        <v>Trad10</v>
      </c>
      <c r="C10" s="449" t="s">
        <v>555</v>
      </c>
      <c r="D10" s="450" t="s">
        <v>556</v>
      </c>
      <c r="E10" s="448" t="s">
        <v>557</v>
      </c>
      <c r="F10" s="448" t="s">
        <v>558</v>
      </c>
      <c r="G10" s="448" t="s">
        <v>559</v>
      </c>
      <c r="H10" s="448" t="s">
        <v>560</v>
      </c>
      <c r="I10" s="448" t="s">
        <v>561</v>
      </c>
      <c r="J10" s="451" t="s">
        <v>562</v>
      </c>
      <c r="K10" s="448" t="s">
        <v>563</v>
      </c>
      <c r="L10" s="452" t="s">
        <v>564</v>
      </c>
      <c r="M10" s="448" t="s">
        <v>565</v>
      </c>
      <c r="N10" s="448" t="s">
        <v>566</v>
      </c>
      <c r="O10" s="448" t="s">
        <v>567</v>
      </c>
      <c r="P10" s="448" t="s">
        <v>568</v>
      </c>
      <c r="Q10" s="448" t="s">
        <v>569</v>
      </c>
      <c r="R10" s="453" t="s">
        <v>555</v>
      </c>
      <c r="S10" s="448" t="s">
        <v>570</v>
      </c>
      <c r="T10" s="448" t="s">
        <v>571</v>
      </c>
      <c r="U10" s="448" t="s">
        <v>572</v>
      </c>
      <c r="V10" s="448" t="s">
        <v>573</v>
      </c>
    </row>
    <row r="11" spans="1:22" ht="14.25">
      <c r="A11" s="448">
        <v>11</v>
      </c>
      <c r="B11" s="448" t="str">
        <f t="shared" si="0"/>
        <v>Trad11</v>
      </c>
      <c r="C11" s="449" t="s">
        <v>574</v>
      </c>
      <c r="D11" s="450" t="s">
        <v>575</v>
      </c>
      <c r="E11" s="448" t="s">
        <v>576</v>
      </c>
      <c r="F11" s="448" t="s">
        <v>577</v>
      </c>
      <c r="G11" s="448" t="s">
        <v>578</v>
      </c>
      <c r="H11" s="448" t="s">
        <v>579</v>
      </c>
      <c r="I11" s="448" t="s">
        <v>580</v>
      </c>
      <c r="J11" s="451" t="s">
        <v>581</v>
      </c>
      <c r="K11" s="448" t="s">
        <v>582</v>
      </c>
      <c r="L11" s="452" t="s">
        <v>583</v>
      </c>
      <c r="M11" s="448" t="s">
        <v>584</v>
      </c>
      <c r="N11" s="448" t="s">
        <v>585</v>
      </c>
      <c r="O11" s="448" t="s">
        <v>586</v>
      </c>
      <c r="P11" s="448" t="s">
        <v>587</v>
      </c>
      <c r="Q11" s="448" t="s">
        <v>588</v>
      </c>
      <c r="R11" s="453" t="s">
        <v>574</v>
      </c>
      <c r="S11" s="448" t="s">
        <v>589</v>
      </c>
      <c r="T11" s="448" t="s">
        <v>590</v>
      </c>
      <c r="U11" s="448" t="s">
        <v>591</v>
      </c>
      <c r="V11" s="448" t="s">
        <v>592</v>
      </c>
    </row>
    <row r="12" spans="1:22" ht="14.25">
      <c r="A12" s="448">
        <v>12</v>
      </c>
      <c r="B12" s="448" t="str">
        <f t="shared" si="0"/>
        <v>Trad12</v>
      </c>
      <c r="C12" s="449" t="s">
        <v>593</v>
      </c>
      <c r="D12" s="448" t="s">
        <v>594</v>
      </c>
      <c r="E12" s="448" t="s">
        <v>595</v>
      </c>
      <c r="F12" s="448" t="s">
        <v>596</v>
      </c>
      <c r="G12" s="448" t="s">
        <v>597</v>
      </c>
      <c r="H12" s="448" t="s">
        <v>598</v>
      </c>
      <c r="I12" s="448" t="s">
        <v>599</v>
      </c>
      <c r="J12" s="451" t="s">
        <v>597</v>
      </c>
      <c r="K12" s="448" t="s">
        <v>600</v>
      </c>
      <c r="L12" s="452" t="s">
        <v>596</v>
      </c>
      <c r="M12" s="448" t="s">
        <v>601</v>
      </c>
      <c r="N12" s="448" t="s">
        <v>602</v>
      </c>
      <c r="O12" s="448" t="s">
        <v>603</v>
      </c>
      <c r="P12" s="448" t="s">
        <v>594</v>
      </c>
      <c r="Q12" s="448" t="s">
        <v>604</v>
      </c>
      <c r="R12" s="453" t="s">
        <v>601</v>
      </c>
      <c r="S12" s="448" t="s">
        <v>604</v>
      </c>
      <c r="T12" s="448" t="s">
        <v>605</v>
      </c>
      <c r="U12" s="448" t="s">
        <v>606</v>
      </c>
      <c r="V12" s="448" t="s">
        <v>594</v>
      </c>
    </row>
    <row r="13" spans="1:22" ht="14.25">
      <c r="A13" s="448">
        <v>13</v>
      </c>
      <c r="B13" s="448" t="str">
        <f t="shared" si="0"/>
        <v>Trad13</v>
      </c>
      <c r="C13" s="449" t="s">
        <v>607</v>
      </c>
      <c r="D13" s="448" t="s">
        <v>608</v>
      </c>
      <c r="E13" s="448" t="s">
        <v>609</v>
      </c>
      <c r="F13" s="448" t="s">
        <v>610</v>
      </c>
      <c r="G13" s="448" t="s">
        <v>611</v>
      </c>
      <c r="H13" s="448" t="s">
        <v>612</v>
      </c>
      <c r="I13" s="448" t="s">
        <v>613</v>
      </c>
      <c r="J13" s="451" t="s">
        <v>614</v>
      </c>
      <c r="K13" s="450" t="s">
        <v>615</v>
      </c>
      <c r="L13" s="452" t="s">
        <v>616</v>
      </c>
      <c r="M13" s="448" t="s">
        <v>617</v>
      </c>
      <c r="N13" s="448" t="s">
        <v>618</v>
      </c>
      <c r="O13" s="448" t="s">
        <v>619</v>
      </c>
      <c r="P13" s="448" t="s">
        <v>620</v>
      </c>
      <c r="Q13" s="448" t="s">
        <v>621</v>
      </c>
      <c r="R13" s="453" t="s">
        <v>622</v>
      </c>
      <c r="S13" s="448" t="s">
        <v>623</v>
      </c>
      <c r="T13" s="448" t="s">
        <v>624</v>
      </c>
      <c r="U13" s="448" t="s">
        <v>625</v>
      </c>
      <c r="V13" s="448" t="s">
        <v>626</v>
      </c>
    </row>
    <row r="14" spans="1:22" ht="14.25">
      <c r="A14" s="448">
        <v>14</v>
      </c>
      <c r="B14" s="448" t="str">
        <f t="shared" si="0"/>
        <v>Trad14</v>
      </c>
      <c r="C14" s="449" t="s">
        <v>627</v>
      </c>
      <c r="D14" s="450" t="s">
        <v>628</v>
      </c>
      <c r="E14" s="448" t="s">
        <v>629</v>
      </c>
      <c r="F14" s="448" t="s">
        <v>630</v>
      </c>
      <c r="G14" s="448" t="s">
        <v>631</v>
      </c>
      <c r="H14" s="448" t="s">
        <v>632</v>
      </c>
      <c r="I14" s="448" t="s">
        <v>633</v>
      </c>
      <c r="J14" s="451" t="s">
        <v>634</v>
      </c>
      <c r="K14" s="450" t="s">
        <v>635</v>
      </c>
      <c r="L14" s="452" t="s">
        <v>636</v>
      </c>
      <c r="M14" s="448" t="s">
        <v>637</v>
      </c>
      <c r="N14" s="448" t="s">
        <v>638</v>
      </c>
      <c r="O14" s="448" t="s">
        <v>639</v>
      </c>
      <c r="P14" s="448" t="s">
        <v>640</v>
      </c>
      <c r="Q14" s="448" t="s">
        <v>641</v>
      </c>
      <c r="R14" s="453" t="s">
        <v>642</v>
      </c>
      <c r="S14" s="448" t="s">
        <v>634</v>
      </c>
      <c r="T14" s="448" t="s">
        <v>643</v>
      </c>
      <c r="U14" s="448" t="s">
        <v>644</v>
      </c>
      <c r="V14" s="448" t="s">
        <v>645</v>
      </c>
    </row>
    <row r="15" spans="1:22" ht="14.25">
      <c r="A15" s="448">
        <v>15</v>
      </c>
      <c r="B15" s="448" t="str">
        <f t="shared" si="0"/>
        <v>Trad15</v>
      </c>
      <c r="C15" s="449" t="s">
        <v>646</v>
      </c>
      <c r="D15" s="448" t="s">
        <v>647</v>
      </c>
      <c r="E15" s="448" t="s">
        <v>648</v>
      </c>
      <c r="F15" s="448" t="s">
        <v>649</v>
      </c>
      <c r="G15" s="448" t="s">
        <v>650</v>
      </c>
      <c r="H15" s="448" t="s">
        <v>651</v>
      </c>
      <c r="I15" s="448" t="s">
        <v>652</v>
      </c>
      <c r="J15" s="451" t="s">
        <v>653</v>
      </c>
      <c r="K15" s="450" t="s">
        <v>654</v>
      </c>
      <c r="L15" s="452" t="s">
        <v>655</v>
      </c>
      <c r="M15" s="448" t="s">
        <v>656</v>
      </c>
      <c r="N15" s="448" t="s">
        <v>657</v>
      </c>
      <c r="O15" s="448" t="s">
        <v>658</v>
      </c>
      <c r="P15" s="448" t="s">
        <v>659</v>
      </c>
      <c r="Q15" s="448" t="s">
        <v>660</v>
      </c>
      <c r="R15" s="453" t="s">
        <v>661</v>
      </c>
      <c r="S15" s="448" t="s">
        <v>662</v>
      </c>
      <c r="T15" s="448" t="s">
        <v>663</v>
      </c>
      <c r="U15" s="448" t="s">
        <v>664</v>
      </c>
      <c r="V15" s="448" t="s">
        <v>665</v>
      </c>
    </row>
    <row r="16" spans="1:22" ht="14.25">
      <c r="A16" s="448">
        <v>16</v>
      </c>
      <c r="B16" s="448" t="str">
        <f t="shared" si="0"/>
        <v>Trad16</v>
      </c>
      <c r="C16" s="449" t="s">
        <v>666</v>
      </c>
      <c r="D16" s="448" t="s">
        <v>667</v>
      </c>
      <c r="E16" s="448" t="s">
        <v>668</v>
      </c>
      <c r="F16" s="448" t="s">
        <v>669</v>
      </c>
      <c r="G16" s="448" t="s">
        <v>670</v>
      </c>
      <c r="H16" s="448" t="s">
        <v>671</v>
      </c>
      <c r="I16" s="448" t="s">
        <v>672</v>
      </c>
      <c r="J16" s="451" t="s">
        <v>673</v>
      </c>
      <c r="K16" s="450" t="s">
        <v>674</v>
      </c>
      <c r="L16" s="452" t="s">
        <v>675</v>
      </c>
      <c r="M16" s="448" t="s">
        <v>676</v>
      </c>
      <c r="N16" s="448" t="s">
        <v>677</v>
      </c>
      <c r="O16" s="448" t="s">
        <v>678</v>
      </c>
      <c r="P16" s="448" t="s">
        <v>679</v>
      </c>
      <c r="Q16" s="448" t="s">
        <v>680</v>
      </c>
      <c r="R16" s="453" t="s">
        <v>681</v>
      </c>
      <c r="S16" s="448" t="s">
        <v>682</v>
      </c>
      <c r="T16" s="448" t="s">
        <v>683</v>
      </c>
      <c r="U16" s="448" t="s">
        <v>684</v>
      </c>
      <c r="V16" s="448" t="s">
        <v>685</v>
      </c>
    </row>
    <row r="17" spans="1:22" ht="14.25">
      <c r="A17" s="448">
        <v>17</v>
      </c>
      <c r="B17" s="448" t="str">
        <f t="shared" si="0"/>
        <v>Trad17</v>
      </c>
      <c r="C17" s="449" t="s">
        <v>686</v>
      </c>
      <c r="D17" s="448" t="s">
        <v>687</v>
      </c>
      <c r="E17" s="448" t="s">
        <v>688</v>
      </c>
      <c r="F17" s="448" t="s">
        <v>689</v>
      </c>
      <c r="G17" s="448" t="s">
        <v>690</v>
      </c>
      <c r="H17" s="448" t="s">
        <v>691</v>
      </c>
      <c r="I17" s="448" t="s">
        <v>692</v>
      </c>
      <c r="J17" s="451" t="s">
        <v>693</v>
      </c>
      <c r="K17" s="450" t="s">
        <v>694</v>
      </c>
      <c r="L17" s="452" t="s">
        <v>695</v>
      </c>
      <c r="M17" s="448" t="s">
        <v>686</v>
      </c>
      <c r="N17" s="448" t="s">
        <v>696</v>
      </c>
      <c r="O17" s="448" t="s">
        <v>697</v>
      </c>
      <c r="P17" s="448" t="s">
        <v>698</v>
      </c>
      <c r="Q17" s="448" t="s">
        <v>699</v>
      </c>
      <c r="R17" s="453" t="s">
        <v>700</v>
      </c>
      <c r="S17" s="448" t="s">
        <v>701</v>
      </c>
      <c r="T17" s="448" t="s">
        <v>702</v>
      </c>
      <c r="U17" s="448" t="s">
        <v>703</v>
      </c>
      <c r="V17" s="448" t="s">
        <v>704</v>
      </c>
    </row>
    <row r="18" spans="1:22" ht="14.25">
      <c r="A18" s="448">
        <v>18</v>
      </c>
      <c r="B18" s="448" t="str">
        <f t="shared" si="0"/>
        <v>Trad18</v>
      </c>
      <c r="C18" s="449" t="s">
        <v>705</v>
      </c>
      <c r="D18" s="448" t="s">
        <v>706</v>
      </c>
      <c r="E18" s="448" t="s">
        <v>707</v>
      </c>
      <c r="F18" s="448" t="s">
        <v>708</v>
      </c>
      <c r="G18" s="448" t="s">
        <v>709</v>
      </c>
      <c r="H18" s="448" t="s">
        <v>710</v>
      </c>
      <c r="I18" s="448" t="s">
        <v>711</v>
      </c>
      <c r="J18" s="451" t="s">
        <v>712</v>
      </c>
      <c r="K18" s="450" t="s">
        <v>713</v>
      </c>
      <c r="L18" s="452" t="s">
        <v>714</v>
      </c>
      <c r="M18" s="448" t="s">
        <v>715</v>
      </c>
      <c r="N18" s="448" t="s">
        <v>716</v>
      </c>
      <c r="O18" s="448" t="s">
        <v>717</v>
      </c>
      <c r="P18" s="448" t="s">
        <v>718</v>
      </c>
      <c r="Q18" s="448" t="s">
        <v>719</v>
      </c>
      <c r="R18" s="453" t="s">
        <v>720</v>
      </c>
      <c r="S18" s="448" t="s">
        <v>721</v>
      </c>
      <c r="T18" s="448" t="s">
        <v>722</v>
      </c>
      <c r="U18" s="448" t="s">
        <v>723</v>
      </c>
      <c r="V18" s="448" t="s">
        <v>724</v>
      </c>
    </row>
    <row r="19" spans="1:22" ht="14.25">
      <c r="A19" s="448">
        <v>19</v>
      </c>
      <c r="B19" s="448" t="str">
        <f t="shared" si="0"/>
        <v>Trad19</v>
      </c>
      <c r="C19" s="449" t="s">
        <v>725</v>
      </c>
      <c r="D19" s="448" t="s">
        <v>726</v>
      </c>
      <c r="E19" s="448" t="s">
        <v>727</v>
      </c>
      <c r="F19" s="448" t="s">
        <v>728</v>
      </c>
      <c r="G19" s="448" t="s">
        <v>729</v>
      </c>
      <c r="H19" s="448" t="s">
        <v>727</v>
      </c>
      <c r="I19" s="448" t="s">
        <v>730</v>
      </c>
      <c r="J19" s="451" t="s">
        <v>731</v>
      </c>
      <c r="K19" s="448" t="s">
        <v>732</v>
      </c>
      <c r="L19" s="452" t="s">
        <v>733</v>
      </c>
      <c r="M19" s="448" t="s">
        <v>734</v>
      </c>
      <c r="N19" s="448" t="s">
        <v>735</v>
      </c>
      <c r="O19" s="448" t="s">
        <v>736</v>
      </c>
      <c r="P19" s="448" t="s">
        <v>737</v>
      </c>
      <c r="Q19" s="448" t="s">
        <v>731</v>
      </c>
      <c r="R19" s="453" t="s">
        <v>738</v>
      </c>
      <c r="S19" s="448" t="s">
        <v>739</v>
      </c>
      <c r="T19" s="448" t="s">
        <v>740</v>
      </c>
      <c r="U19" s="448" t="s">
        <v>741</v>
      </c>
      <c r="V19" s="448" t="s">
        <v>742</v>
      </c>
    </row>
    <row r="20" spans="1:22" ht="14.25">
      <c r="A20" s="448">
        <v>20</v>
      </c>
      <c r="B20" s="448" t="str">
        <f t="shared" si="0"/>
        <v>Trad20</v>
      </c>
      <c r="C20" s="449" t="s">
        <v>743</v>
      </c>
      <c r="D20" s="448" t="s">
        <v>744</v>
      </c>
      <c r="E20" s="448" t="s">
        <v>745</v>
      </c>
      <c r="F20" s="448" t="s">
        <v>744</v>
      </c>
      <c r="G20" s="448" t="s">
        <v>746</v>
      </c>
      <c r="H20" s="448" t="s">
        <v>747</v>
      </c>
      <c r="I20" s="448" t="s">
        <v>748</v>
      </c>
      <c r="J20" s="451" t="s">
        <v>749</v>
      </c>
      <c r="K20" s="448" t="s">
        <v>750</v>
      </c>
      <c r="L20" s="452" t="s">
        <v>744</v>
      </c>
      <c r="M20" s="448" t="s">
        <v>751</v>
      </c>
      <c r="N20" s="448" t="s">
        <v>744</v>
      </c>
      <c r="O20" s="448" t="s">
        <v>752</v>
      </c>
      <c r="P20" s="448" t="s">
        <v>753</v>
      </c>
      <c r="Q20" s="448" t="s">
        <v>744</v>
      </c>
      <c r="R20" s="453" t="s">
        <v>754</v>
      </c>
      <c r="S20" s="448" t="s">
        <v>755</v>
      </c>
      <c r="T20" s="448" t="s">
        <v>744</v>
      </c>
      <c r="U20" s="448" t="s">
        <v>744</v>
      </c>
      <c r="V20" s="448" t="s">
        <v>744</v>
      </c>
    </row>
    <row r="21" spans="1:22" ht="14.25">
      <c r="A21" s="448">
        <v>21</v>
      </c>
      <c r="B21" s="448" t="str">
        <f t="shared" si="0"/>
        <v>Trad21</v>
      </c>
      <c r="C21" s="449" t="s">
        <v>756</v>
      </c>
      <c r="D21" s="448" t="s">
        <v>757</v>
      </c>
      <c r="E21" s="448" t="s">
        <v>758</v>
      </c>
      <c r="F21" s="448" t="s">
        <v>759</v>
      </c>
      <c r="G21" s="448" t="s">
        <v>760</v>
      </c>
      <c r="H21" s="448" t="s">
        <v>761</v>
      </c>
      <c r="I21" s="448" t="s">
        <v>762</v>
      </c>
      <c r="J21" s="451" t="s">
        <v>763</v>
      </c>
      <c r="K21" s="448" t="s">
        <v>764</v>
      </c>
      <c r="L21" s="452" t="s">
        <v>765</v>
      </c>
      <c r="M21" s="448" t="s">
        <v>766</v>
      </c>
      <c r="N21" s="448" t="s">
        <v>767</v>
      </c>
      <c r="O21" s="448" t="s">
        <v>768</v>
      </c>
      <c r="P21" s="448" t="s">
        <v>757</v>
      </c>
      <c r="Q21" s="448" t="s">
        <v>769</v>
      </c>
      <c r="R21" s="453" t="s">
        <v>770</v>
      </c>
      <c r="S21" s="448" t="s">
        <v>771</v>
      </c>
      <c r="T21" s="448" t="s">
        <v>772</v>
      </c>
      <c r="U21" s="448" t="s">
        <v>773</v>
      </c>
      <c r="V21" s="448" t="s">
        <v>774</v>
      </c>
    </row>
    <row r="22" spans="1:22" ht="14.25">
      <c r="A22" s="448">
        <v>22</v>
      </c>
      <c r="B22" s="448" t="str">
        <f t="shared" si="0"/>
        <v>Trad22</v>
      </c>
      <c r="C22" s="449" t="s">
        <v>775</v>
      </c>
      <c r="D22" s="448" t="s">
        <v>776</v>
      </c>
      <c r="E22" s="448" t="s">
        <v>777</v>
      </c>
      <c r="F22" s="448" t="s">
        <v>778</v>
      </c>
      <c r="G22" s="448" t="s">
        <v>779</v>
      </c>
      <c r="H22" s="448" t="s">
        <v>780</v>
      </c>
      <c r="I22" s="448" t="s">
        <v>781</v>
      </c>
      <c r="J22" s="451" t="s">
        <v>779</v>
      </c>
      <c r="K22" s="448" t="s">
        <v>782</v>
      </c>
      <c r="L22" s="452" t="s">
        <v>778</v>
      </c>
      <c r="M22" s="448" t="s">
        <v>783</v>
      </c>
      <c r="N22" s="448" t="s">
        <v>784</v>
      </c>
      <c r="O22" s="448" t="s">
        <v>785</v>
      </c>
      <c r="P22" s="448" t="s">
        <v>776</v>
      </c>
      <c r="Q22" s="448" t="s">
        <v>778</v>
      </c>
      <c r="R22" s="453" t="s">
        <v>786</v>
      </c>
      <c r="S22" s="448" t="s">
        <v>787</v>
      </c>
      <c r="T22" s="448" t="s">
        <v>788</v>
      </c>
      <c r="U22" s="448" t="s">
        <v>789</v>
      </c>
      <c r="V22" s="448" t="s">
        <v>790</v>
      </c>
    </row>
    <row r="23" spans="1:22" ht="14.25">
      <c r="A23" s="448">
        <v>23</v>
      </c>
      <c r="B23" s="448" t="str">
        <f t="shared" si="0"/>
        <v>Trad23</v>
      </c>
      <c r="C23" s="449" t="s">
        <v>791</v>
      </c>
      <c r="D23" s="455" t="s">
        <v>792</v>
      </c>
      <c r="E23" s="448" t="s">
        <v>793</v>
      </c>
      <c r="F23" s="448" t="s">
        <v>794</v>
      </c>
      <c r="G23" s="448" t="s">
        <v>795</v>
      </c>
      <c r="H23" s="448" t="s">
        <v>796</v>
      </c>
      <c r="I23" s="448" t="s">
        <v>797</v>
      </c>
      <c r="J23" s="451" t="s">
        <v>798</v>
      </c>
      <c r="K23" s="448" t="s">
        <v>799</v>
      </c>
      <c r="L23" s="452" t="s">
        <v>799</v>
      </c>
      <c r="M23" s="448" t="s">
        <v>800</v>
      </c>
      <c r="N23" s="448" t="s">
        <v>799</v>
      </c>
      <c r="O23" s="448" t="s">
        <v>801</v>
      </c>
      <c r="P23" s="448" t="s">
        <v>802</v>
      </c>
      <c r="Q23" s="448" t="s">
        <v>803</v>
      </c>
      <c r="R23" s="453" t="s">
        <v>804</v>
      </c>
      <c r="S23" s="448" t="s">
        <v>805</v>
      </c>
      <c r="T23" s="448" t="s">
        <v>799</v>
      </c>
      <c r="U23" s="448" t="s">
        <v>806</v>
      </c>
      <c r="V23" s="448" t="s">
        <v>807</v>
      </c>
    </row>
    <row r="24" spans="1:22" ht="14.25">
      <c r="A24" s="448">
        <v>24</v>
      </c>
      <c r="B24" s="448" t="str">
        <f t="shared" si="0"/>
        <v>Trad24</v>
      </c>
      <c r="C24" s="449" t="s">
        <v>808</v>
      </c>
      <c r="D24" s="448" t="s">
        <v>809</v>
      </c>
      <c r="E24" s="448" t="s">
        <v>810</v>
      </c>
      <c r="F24" s="448" t="s">
        <v>811</v>
      </c>
      <c r="G24" s="448" t="s">
        <v>812</v>
      </c>
      <c r="H24" s="448" t="s">
        <v>813</v>
      </c>
      <c r="I24" s="448" t="s">
        <v>814</v>
      </c>
      <c r="J24" s="451" t="s">
        <v>811</v>
      </c>
      <c r="K24" s="450" t="s">
        <v>815</v>
      </c>
      <c r="L24" s="452" t="s">
        <v>811</v>
      </c>
      <c r="M24" s="448" t="s">
        <v>816</v>
      </c>
      <c r="N24" s="448" t="s">
        <v>817</v>
      </c>
      <c r="O24" s="448" t="s">
        <v>818</v>
      </c>
      <c r="P24" s="448" t="s">
        <v>819</v>
      </c>
      <c r="Q24" s="448" t="s">
        <v>819</v>
      </c>
      <c r="R24" s="453" t="s">
        <v>820</v>
      </c>
      <c r="S24" s="448" t="s">
        <v>811</v>
      </c>
      <c r="T24" s="448" t="s">
        <v>821</v>
      </c>
      <c r="U24" s="448" t="s">
        <v>822</v>
      </c>
      <c r="V24" s="448" t="s">
        <v>823</v>
      </c>
    </row>
    <row r="25" spans="1:22" ht="14.25">
      <c r="A25" s="448">
        <v>25</v>
      </c>
      <c r="B25" s="448" t="str">
        <f t="shared" si="0"/>
        <v>Trad25</v>
      </c>
      <c r="C25" s="449" t="s">
        <v>824</v>
      </c>
      <c r="D25" s="448" t="s">
        <v>825</v>
      </c>
      <c r="E25" s="448" t="s">
        <v>826</v>
      </c>
      <c r="F25" s="448" t="s">
        <v>827</v>
      </c>
      <c r="G25" s="448" t="s">
        <v>828</v>
      </c>
      <c r="H25" s="448" t="s">
        <v>829</v>
      </c>
      <c r="I25" s="448" t="s">
        <v>830</v>
      </c>
      <c r="J25" s="451" t="s">
        <v>831</v>
      </c>
      <c r="K25" s="450" t="s">
        <v>832</v>
      </c>
      <c r="L25" s="452" t="s">
        <v>833</v>
      </c>
      <c r="M25" s="448" t="s">
        <v>834</v>
      </c>
      <c r="N25" s="448" t="s">
        <v>831</v>
      </c>
      <c r="O25" s="448" t="s">
        <v>835</v>
      </c>
      <c r="P25" s="448" t="s">
        <v>836</v>
      </c>
      <c r="Q25" s="448" t="s">
        <v>837</v>
      </c>
      <c r="R25" s="453" t="s">
        <v>838</v>
      </c>
      <c r="S25" s="448" t="s">
        <v>831</v>
      </c>
      <c r="T25" s="448" t="s">
        <v>839</v>
      </c>
      <c r="U25" s="448" t="s">
        <v>840</v>
      </c>
      <c r="V25" s="448" t="s">
        <v>841</v>
      </c>
    </row>
    <row r="26" spans="1:22" ht="14.25">
      <c r="A26" s="448">
        <v>26</v>
      </c>
      <c r="B26" s="448" t="str">
        <f t="shared" si="0"/>
        <v>Trad26</v>
      </c>
      <c r="C26" s="449" t="s">
        <v>842</v>
      </c>
      <c r="D26" s="448" t="s">
        <v>843</v>
      </c>
      <c r="E26" s="448" t="s">
        <v>844</v>
      </c>
      <c r="F26" s="448" t="s">
        <v>845</v>
      </c>
      <c r="G26" s="448" t="s">
        <v>846</v>
      </c>
      <c r="H26" s="448" t="s">
        <v>847</v>
      </c>
      <c r="I26" s="448" t="s">
        <v>848</v>
      </c>
      <c r="J26" s="451" t="s">
        <v>849</v>
      </c>
      <c r="K26" s="448" t="s">
        <v>850</v>
      </c>
      <c r="L26" s="452" t="s">
        <v>851</v>
      </c>
      <c r="M26" s="448" t="s">
        <v>852</v>
      </c>
      <c r="N26" s="448" t="s">
        <v>853</v>
      </c>
      <c r="O26" s="448" t="s">
        <v>854</v>
      </c>
      <c r="P26" s="448" t="s">
        <v>855</v>
      </c>
      <c r="Q26" s="448" t="s">
        <v>845</v>
      </c>
      <c r="R26" s="453" t="s">
        <v>856</v>
      </c>
      <c r="S26" s="448" t="s">
        <v>857</v>
      </c>
      <c r="T26" s="448" t="s">
        <v>857</v>
      </c>
      <c r="U26" s="448" t="s">
        <v>858</v>
      </c>
      <c r="V26" s="448" t="s">
        <v>859</v>
      </c>
    </row>
    <row r="27" spans="1:22" ht="14.25">
      <c r="A27" s="448">
        <v>27</v>
      </c>
      <c r="B27" s="448" t="str">
        <f t="shared" si="0"/>
        <v>Trad27</v>
      </c>
      <c r="C27" s="449" t="s">
        <v>860</v>
      </c>
      <c r="D27" s="448" t="s">
        <v>861</v>
      </c>
      <c r="E27" s="448" t="s">
        <v>862</v>
      </c>
      <c r="F27" s="448" t="s">
        <v>863</v>
      </c>
      <c r="G27" s="448" t="s">
        <v>864</v>
      </c>
      <c r="H27" s="448" t="s">
        <v>865</v>
      </c>
      <c r="I27" s="448" t="s">
        <v>866</v>
      </c>
      <c r="J27" s="451" t="s">
        <v>867</v>
      </c>
      <c r="K27" s="448" t="s">
        <v>868</v>
      </c>
      <c r="L27" s="452" t="s">
        <v>869</v>
      </c>
      <c r="M27" s="448" t="s">
        <v>870</v>
      </c>
      <c r="N27" s="448" t="s">
        <v>871</v>
      </c>
      <c r="O27" s="448" t="s">
        <v>872</v>
      </c>
      <c r="P27" s="448" t="s">
        <v>873</v>
      </c>
      <c r="Q27" s="448" t="s">
        <v>874</v>
      </c>
      <c r="R27" s="453" t="s">
        <v>875</v>
      </c>
      <c r="S27" s="448" t="s">
        <v>876</v>
      </c>
      <c r="T27" s="448" t="s">
        <v>877</v>
      </c>
      <c r="U27" s="448" t="s">
        <v>878</v>
      </c>
      <c r="V27" s="448" t="s">
        <v>879</v>
      </c>
    </row>
    <row r="28" spans="1:22" ht="14.25">
      <c r="A28" s="448">
        <v>28</v>
      </c>
      <c r="B28" s="448" t="str">
        <f t="shared" si="0"/>
        <v>Trad28</v>
      </c>
      <c r="C28" s="449" t="s">
        <v>880</v>
      </c>
      <c r="D28" s="448" t="s">
        <v>881</v>
      </c>
      <c r="E28" s="448" t="s">
        <v>882</v>
      </c>
      <c r="F28" s="448" t="s">
        <v>883</v>
      </c>
      <c r="G28" s="448" t="s">
        <v>884</v>
      </c>
      <c r="H28" s="448" t="s">
        <v>885</v>
      </c>
      <c r="I28" s="448" t="s">
        <v>886</v>
      </c>
      <c r="J28" s="451" t="s">
        <v>887</v>
      </c>
      <c r="K28" s="450" t="s">
        <v>888</v>
      </c>
      <c r="L28" s="452" t="s">
        <v>889</v>
      </c>
      <c r="M28" s="448" t="s">
        <v>890</v>
      </c>
      <c r="N28" s="448" t="s">
        <v>891</v>
      </c>
      <c r="O28" s="448" t="s">
        <v>892</v>
      </c>
      <c r="P28" s="448" t="s">
        <v>893</v>
      </c>
      <c r="Q28" s="448" t="s">
        <v>894</v>
      </c>
      <c r="R28" s="453" t="s">
        <v>895</v>
      </c>
      <c r="S28" s="448" t="s">
        <v>887</v>
      </c>
      <c r="T28" s="448" t="s">
        <v>896</v>
      </c>
      <c r="U28" s="448" t="s">
        <v>897</v>
      </c>
      <c r="V28" s="448" t="s">
        <v>898</v>
      </c>
    </row>
    <row r="29" spans="1:22" ht="14.25">
      <c r="A29" s="448">
        <v>29</v>
      </c>
      <c r="B29" s="448" t="str">
        <f t="shared" si="0"/>
        <v>Trad29</v>
      </c>
      <c r="C29" s="449" t="s">
        <v>899</v>
      </c>
      <c r="D29" s="448" t="s">
        <v>900</v>
      </c>
      <c r="E29" s="448" t="s">
        <v>901</v>
      </c>
      <c r="F29" s="448" t="s">
        <v>902</v>
      </c>
      <c r="G29" s="448" t="s">
        <v>903</v>
      </c>
      <c r="H29" s="448" t="s">
        <v>904</v>
      </c>
      <c r="I29" s="448" t="s">
        <v>905</v>
      </c>
      <c r="J29" s="451" t="s">
        <v>906</v>
      </c>
      <c r="K29" s="448" t="s">
        <v>907</v>
      </c>
      <c r="L29" s="452" t="s">
        <v>908</v>
      </c>
      <c r="M29" s="448" t="s">
        <v>909</v>
      </c>
      <c r="N29" s="448" t="s">
        <v>902</v>
      </c>
      <c r="O29" s="448" t="s">
        <v>910</v>
      </c>
      <c r="P29" s="448" t="s">
        <v>911</v>
      </c>
      <c r="Q29" s="448" t="s">
        <v>912</v>
      </c>
      <c r="R29" s="453" t="s">
        <v>913</v>
      </c>
      <c r="S29" s="448" t="s">
        <v>902</v>
      </c>
      <c r="T29" s="448" t="s">
        <v>914</v>
      </c>
      <c r="U29" s="448" t="s">
        <v>915</v>
      </c>
      <c r="V29" s="448" t="s">
        <v>916</v>
      </c>
    </row>
    <row r="30" spans="1:22" ht="14.25">
      <c r="A30" s="448">
        <v>30</v>
      </c>
      <c r="B30" s="448" t="str">
        <f t="shared" si="0"/>
        <v>Trad30</v>
      </c>
      <c r="C30" s="449" t="s">
        <v>917</v>
      </c>
      <c r="D30" s="448" t="s">
        <v>918</v>
      </c>
      <c r="E30" s="448" t="s">
        <v>919</v>
      </c>
      <c r="F30" s="448" t="s">
        <v>920</v>
      </c>
      <c r="G30" s="448" t="s">
        <v>921</v>
      </c>
      <c r="H30" s="448" t="s">
        <v>922</v>
      </c>
      <c r="I30" s="448" t="s">
        <v>923</v>
      </c>
      <c r="J30" s="451" t="s">
        <v>924</v>
      </c>
      <c r="K30" s="450" t="s">
        <v>925</v>
      </c>
      <c r="L30" s="452" t="s">
        <v>926</v>
      </c>
      <c r="M30" s="448" t="s">
        <v>927</v>
      </c>
      <c r="N30" s="448" t="s">
        <v>928</v>
      </c>
      <c r="O30" s="448" t="s">
        <v>929</v>
      </c>
      <c r="P30" s="448" t="s">
        <v>930</v>
      </c>
      <c r="Q30" s="448" t="s">
        <v>931</v>
      </c>
      <c r="R30" s="453" t="s">
        <v>932</v>
      </c>
      <c r="S30" s="448" t="s">
        <v>933</v>
      </c>
      <c r="T30" s="448" t="s">
        <v>934</v>
      </c>
      <c r="U30" s="448" t="s">
        <v>935</v>
      </c>
      <c r="V30" s="448" t="s">
        <v>936</v>
      </c>
    </row>
    <row r="31" spans="1:22" ht="14.25">
      <c r="A31" s="448">
        <v>31</v>
      </c>
      <c r="B31" s="448" t="str">
        <f t="shared" si="0"/>
        <v>Trad31</v>
      </c>
      <c r="C31" s="449" t="s">
        <v>937</v>
      </c>
      <c r="D31" s="448" t="s">
        <v>938</v>
      </c>
      <c r="E31" s="448" t="s">
        <v>939</v>
      </c>
      <c r="F31" s="448" t="s">
        <v>940</v>
      </c>
      <c r="G31" s="448" t="s">
        <v>941</v>
      </c>
      <c r="H31" s="448" t="s">
        <v>942</v>
      </c>
      <c r="I31" s="448" t="s">
        <v>943</v>
      </c>
      <c r="J31" s="451" t="s">
        <v>944</v>
      </c>
      <c r="K31" s="450" t="s">
        <v>945</v>
      </c>
      <c r="L31" s="452" t="s">
        <v>946</v>
      </c>
      <c r="M31" s="448" t="s">
        <v>947</v>
      </c>
      <c r="N31" s="448" t="s">
        <v>948</v>
      </c>
      <c r="O31" s="448" t="s">
        <v>949</v>
      </c>
      <c r="P31" s="448" t="s">
        <v>950</v>
      </c>
      <c r="Q31" s="448" t="s">
        <v>951</v>
      </c>
      <c r="R31" s="453" t="s">
        <v>952</v>
      </c>
      <c r="S31" s="448" t="s">
        <v>953</v>
      </c>
      <c r="T31" s="448" t="s">
        <v>954</v>
      </c>
      <c r="U31" s="448" t="s">
        <v>955</v>
      </c>
      <c r="V31" s="448" t="s">
        <v>956</v>
      </c>
    </row>
    <row r="32" spans="1:22" ht="14.25">
      <c r="A32" s="448">
        <v>32</v>
      </c>
      <c r="B32" s="448" t="str">
        <f t="shared" si="0"/>
        <v>Trad32</v>
      </c>
      <c r="C32" s="449" t="s">
        <v>957</v>
      </c>
      <c r="D32" s="448" t="s">
        <v>958</v>
      </c>
      <c r="E32" s="448" t="s">
        <v>959</v>
      </c>
      <c r="F32" s="448" t="s">
        <v>958</v>
      </c>
      <c r="G32" s="448" t="s">
        <v>960</v>
      </c>
      <c r="H32" s="448" t="s">
        <v>961</v>
      </c>
      <c r="I32" s="448" t="s">
        <v>962</v>
      </c>
      <c r="J32" s="451" t="s">
        <v>957</v>
      </c>
      <c r="K32" s="450" t="s">
        <v>963</v>
      </c>
      <c r="L32" s="452" t="s">
        <v>964</v>
      </c>
      <c r="M32" s="448" t="s">
        <v>965</v>
      </c>
      <c r="N32" s="448" t="s">
        <v>966</v>
      </c>
      <c r="O32" s="448" t="s">
        <v>967</v>
      </c>
      <c r="P32" s="448" t="s">
        <v>963</v>
      </c>
      <c r="Q32" s="448" t="s">
        <v>958</v>
      </c>
      <c r="R32" s="453" t="s">
        <v>957</v>
      </c>
      <c r="S32" s="448" t="s">
        <v>968</v>
      </c>
      <c r="T32" s="448" t="s">
        <v>969</v>
      </c>
      <c r="U32" s="448" t="s">
        <v>970</v>
      </c>
      <c r="V32" s="448" t="s">
        <v>971</v>
      </c>
    </row>
    <row r="33" spans="1:22" ht="14.25">
      <c r="A33" s="448">
        <v>33</v>
      </c>
      <c r="B33" s="448" t="str">
        <f t="shared" si="0"/>
        <v>Trad33</v>
      </c>
      <c r="C33" s="449" t="s">
        <v>972</v>
      </c>
      <c r="D33" s="448" t="s">
        <v>973</v>
      </c>
      <c r="E33" s="448" t="s">
        <v>974</v>
      </c>
      <c r="F33" s="448" t="s">
        <v>975</v>
      </c>
      <c r="G33" s="448" t="s">
        <v>976</v>
      </c>
      <c r="H33" s="448" t="s">
        <v>977</v>
      </c>
      <c r="I33" s="448" t="s">
        <v>978</v>
      </c>
      <c r="J33" s="451" t="s">
        <v>979</v>
      </c>
      <c r="K33" s="448" t="s">
        <v>980</v>
      </c>
      <c r="L33" s="452" t="s">
        <v>981</v>
      </c>
      <c r="M33" s="448" t="s">
        <v>982</v>
      </c>
      <c r="N33" s="448" t="s">
        <v>975</v>
      </c>
      <c r="O33" s="448" t="s">
        <v>983</v>
      </c>
      <c r="P33" s="448" t="s">
        <v>984</v>
      </c>
      <c r="Q33" s="448" t="s">
        <v>975</v>
      </c>
      <c r="R33" s="453" t="s">
        <v>972</v>
      </c>
      <c r="S33" s="448" t="s">
        <v>985</v>
      </c>
      <c r="T33" s="448" t="s">
        <v>985</v>
      </c>
      <c r="U33" s="448" t="s">
        <v>986</v>
      </c>
      <c r="V33" s="448" t="s">
        <v>987</v>
      </c>
    </row>
    <row r="34" spans="1:22" ht="14.25">
      <c r="A34" s="448">
        <v>34</v>
      </c>
      <c r="B34" s="448" t="str">
        <f t="shared" si="0"/>
        <v>Trad34</v>
      </c>
      <c r="C34" s="449" t="s">
        <v>988</v>
      </c>
      <c r="D34" s="448" t="s">
        <v>989</v>
      </c>
      <c r="E34" s="448" t="s">
        <v>990</v>
      </c>
      <c r="F34" s="448" t="s">
        <v>991</v>
      </c>
      <c r="G34" s="448" t="s">
        <v>992</v>
      </c>
      <c r="H34" s="448" t="s">
        <v>993</v>
      </c>
      <c r="I34" s="448" t="s">
        <v>994</v>
      </c>
      <c r="J34" s="451" t="s">
        <v>995</v>
      </c>
      <c r="K34" s="448" t="s">
        <v>996</v>
      </c>
      <c r="L34" s="452" t="s">
        <v>997</v>
      </c>
      <c r="M34" s="448" t="s">
        <v>998</v>
      </c>
      <c r="N34" s="448" t="s">
        <v>999</v>
      </c>
      <c r="O34" s="448" t="s">
        <v>1000</v>
      </c>
      <c r="P34" s="448" t="s">
        <v>1001</v>
      </c>
      <c r="Q34" s="448" t="s">
        <v>996</v>
      </c>
      <c r="R34" s="453" t="s">
        <v>1002</v>
      </c>
      <c r="S34" s="448" t="s">
        <v>1003</v>
      </c>
      <c r="T34" s="448" t="s">
        <v>1004</v>
      </c>
      <c r="U34" s="448" t="s">
        <v>1005</v>
      </c>
      <c r="V34" s="448" t="s">
        <v>1006</v>
      </c>
    </row>
    <row r="35" spans="1:22" ht="14.25">
      <c r="A35" s="448">
        <v>35</v>
      </c>
      <c r="B35" s="448" t="str">
        <f t="shared" si="0"/>
        <v>Trad35</v>
      </c>
      <c r="C35" s="449" t="s">
        <v>1007</v>
      </c>
      <c r="D35" s="450" t="s">
        <v>1008</v>
      </c>
      <c r="E35" s="448" t="s">
        <v>1009</v>
      </c>
      <c r="F35" s="448" t="s">
        <v>1010</v>
      </c>
      <c r="G35" s="448" t="s">
        <v>1011</v>
      </c>
      <c r="H35" s="448" t="s">
        <v>1012</v>
      </c>
      <c r="I35" s="448" t="s">
        <v>1013</v>
      </c>
      <c r="J35" s="451" t="s">
        <v>1014</v>
      </c>
      <c r="K35" s="450" t="s">
        <v>1015</v>
      </c>
      <c r="L35" s="452" t="s">
        <v>1016</v>
      </c>
      <c r="M35" s="448" t="s">
        <v>1017</v>
      </c>
      <c r="N35" s="448" t="s">
        <v>1018</v>
      </c>
      <c r="O35" s="448" t="s">
        <v>1019</v>
      </c>
      <c r="P35" s="448" t="s">
        <v>1020</v>
      </c>
      <c r="Q35" s="448" t="s">
        <v>1021</v>
      </c>
      <c r="R35" s="453" t="s">
        <v>1022</v>
      </c>
      <c r="S35" s="448" t="s">
        <v>1023</v>
      </c>
      <c r="T35" s="448" t="s">
        <v>1024</v>
      </c>
      <c r="U35" s="448" t="s">
        <v>1025</v>
      </c>
      <c r="V35" s="448" t="s">
        <v>1026</v>
      </c>
    </row>
    <row r="36" spans="1:22" ht="14.25">
      <c r="A36" s="448">
        <v>36</v>
      </c>
      <c r="B36" s="448" t="str">
        <f t="shared" si="0"/>
        <v>Trad36</v>
      </c>
      <c r="C36" s="449" t="s">
        <v>1027</v>
      </c>
      <c r="D36" s="448" t="s">
        <v>1028</v>
      </c>
      <c r="E36" s="448" t="s">
        <v>1029</v>
      </c>
      <c r="F36" s="448" t="s">
        <v>1030</v>
      </c>
      <c r="G36" s="448" t="s">
        <v>1031</v>
      </c>
      <c r="H36" s="448" t="s">
        <v>1032</v>
      </c>
      <c r="I36" s="448" t="s">
        <v>1033</v>
      </c>
      <c r="J36" s="451" t="s">
        <v>1034</v>
      </c>
      <c r="K36" s="448" t="s">
        <v>1035</v>
      </c>
      <c r="L36" s="452" t="s">
        <v>1036</v>
      </c>
      <c r="M36" s="448" t="s">
        <v>1037</v>
      </c>
      <c r="N36" s="448" t="s">
        <v>1038</v>
      </c>
      <c r="O36" s="448" t="s">
        <v>1039</v>
      </c>
      <c r="P36" s="448" t="s">
        <v>1040</v>
      </c>
      <c r="Q36" s="448" t="s">
        <v>1041</v>
      </c>
      <c r="R36" s="453" t="s">
        <v>1042</v>
      </c>
      <c r="S36" s="448" t="s">
        <v>1043</v>
      </c>
      <c r="T36" s="448" t="s">
        <v>1044</v>
      </c>
      <c r="U36" s="448" t="s">
        <v>1045</v>
      </c>
      <c r="V36" s="448" t="s">
        <v>1046</v>
      </c>
    </row>
    <row r="37" spans="1:22" ht="14.25">
      <c r="A37" s="448">
        <v>37</v>
      </c>
      <c r="B37" s="448" t="str">
        <f t="shared" si="0"/>
        <v>Trad37</v>
      </c>
      <c r="C37" s="449" t="s">
        <v>1047</v>
      </c>
      <c r="D37" s="448" t="s">
        <v>1048</v>
      </c>
      <c r="E37" s="448" t="s">
        <v>1049</v>
      </c>
      <c r="F37" s="448" t="s">
        <v>1050</v>
      </c>
      <c r="G37" s="448" t="s">
        <v>1051</v>
      </c>
      <c r="H37" s="448" t="s">
        <v>1052</v>
      </c>
      <c r="I37" s="448" t="s">
        <v>1053</v>
      </c>
      <c r="J37" s="451" t="s">
        <v>1054</v>
      </c>
      <c r="K37" s="450" t="s">
        <v>1055</v>
      </c>
      <c r="L37" s="452" t="s">
        <v>1056</v>
      </c>
      <c r="M37" s="448" t="s">
        <v>1057</v>
      </c>
      <c r="N37" s="448" t="s">
        <v>1058</v>
      </c>
      <c r="O37" s="448" t="s">
        <v>1059</v>
      </c>
      <c r="P37" s="448" t="s">
        <v>1060</v>
      </c>
      <c r="Q37" s="448" t="s">
        <v>1061</v>
      </c>
      <c r="R37" s="453" t="s">
        <v>1062</v>
      </c>
      <c r="S37" s="448" t="s">
        <v>1063</v>
      </c>
      <c r="T37" s="448" t="s">
        <v>1064</v>
      </c>
      <c r="U37" s="448" t="s">
        <v>1065</v>
      </c>
      <c r="V37" s="448" t="s">
        <v>1066</v>
      </c>
    </row>
    <row r="38" spans="1:22" ht="14.25">
      <c r="A38" s="448">
        <v>38</v>
      </c>
      <c r="B38" s="448" t="str">
        <f t="shared" si="0"/>
        <v>Trad38</v>
      </c>
      <c r="C38" s="449" t="s">
        <v>1067</v>
      </c>
      <c r="D38" s="448" t="s">
        <v>1068</v>
      </c>
      <c r="E38" s="448" t="s">
        <v>1069</v>
      </c>
      <c r="F38" s="448" t="s">
        <v>1070</v>
      </c>
      <c r="G38" s="448" t="s">
        <v>1071</v>
      </c>
      <c r="H38" s="448" t="s">
        <v>1072</v>
      </c>
      <c r="I38" s="448" t="s">
        <v>1073</v>
      </c>
      <c r="J38" s="451" t="s">
        <v>1074</v>
      </c>
      <c r="K38" s="448" t="s">
        <v>1075</v>
      </c>
      <c r="L38" s="452" t="s">
        <v>1076</v>
      </c>
      <c r="M38" s="448" t="s">
        <v>1077</v>
      </c>
      <c r="N38" s="448" t="s">
        <v>1078</v>
      </c>
      <c r="O38" s="448" t="s">
        <v>1079</v>
      </c>
      <c r="P38" s="448" t="s">
        <v>1080</v>
      </c>
      <c r="Q38" s="448" t="s">
        <v>1081</v>
      </c>
      <c r="R38" s="453" t="s">
        <v>1082</v>
      </c>
      <c r="S38" s="448" t="s">
        <v>1083</v>
      </c>
      <c r="T38" s="448" t="s">
        <v>1084</v>
      </c>
      <c r="U38" s="448" t="s">
        <v>1085</v>
      </c>
      <c r="V38" s="448" t="s">
        <v>1086</v>
      </c>
    </row>
    <row r="39" spans="1:22" ht="14.25">
      <c r="A39" s="448">
        <v>39</v>
      </c>
      <c r="B39" s="448" t="str">
        <f t="shared" si="0"/>
        <v>Trad39</v>
      </c>
      <c r="C39" s="449" t="s">
        <v>1087</v>
      </c>
      <c r="D39" s="448" t="s">
        <v>1088</v>
      </c>
      <c r="E39" s="448" t="s">
        <v>1089</v>
      </c>
      <c r="F39" s="448" t="s">
        <v>1090</v>
      </c>
      <c r="G39" s="448" t="s">
        <v>1091</v>
      </c>
      <c r="H39" s="448" t="s">
        <v>1092</v>
      </c>
      <c r="I39" s="448" t="s">
        <v>1093</v>
      </c>
      <c r="J39" s="451" t="s">
        <v>1094</v>
      </c>
      <c r="K39" s="450" t="s">
        <v>1095</v>
      </c>
      <c r="L39" s="452" t="s">
        <v>1096</v>
      </c>
      <c r="M39" s="448" t="s">
        <v>1097</v>
      </c>
      <c r="N39" s="448" t="s">
        <v>1098</v>
      </c>
      <c r="O39" s="448" t="s">
        <v>1099</v>
      </c>
      <c r="P39" s="448" t="s">
        <v>1100</v>
      </c>
      <c r="Q39" s="448" t="s">
        <v>1101</v>
      </c>
      <c r="R39" s="453" t="s">
        <v>1102</v>
      </c>
      <c r="S39" s="448" t="s">
        <v>1103</v>
      </c>
      <c r="T39" s="448" t="s">
        <v>1104</v>
      </c>
      <c r="U39" s="448" t="s">
        <v>1105</v>
      </c>
      <c r="V39" s="448" t="s">
        <v>1106</v>
      </c>
    </row>
    <row r="40" spans="1:22" ht="14.25">
      <c r="A40" s="448">
        <v>40</v>
      </c>
      <c r="B40" s="448" t="str">
        <f t="shared" si="0"/>
        <v>Trad40</v>
      </c>
      <c r="C40" s="449" t="s">
        <v>1107</v>
      </c>
      <c r="D40" s="448" t="s">
        <v>1108</v>
      </c>
      <c r="E40" s="448" t="s">
        <v>1109</v>
      </c>
      <c r="F40" s="448" t="s">
        <v>1110</v>
      </c>
      <c r="G40" s="448" t="s">
        <v>1111</v>
      </c>
      <c r="H40" s="448" t="s">
        <v>1112</v>
      </c>
      <c r="I40" s="448" t="s">
        <v>1113</v>
      </c>
      <c r="J40" s="451" t="s">
        <v>1114</v>
      </c>
      <c r="K40" s="450" t="s">
        <v>1115</v>
      </c>
      <c r="L40" s="452" t="s">
        <v>1116</v>
      </c>
      <c r="M40" s="448" t="s">
        <v>1117</v>
      </c>
      <c r="N40" s="448" t="s">
        <v>1118</v>
      </c>
      <c r="O40" s="448" t="s">
        <v>1119</v>
      </c>
      <c r="P40" s="448" t="s">
        <v>1120</v>
      </c>
      <c r="Q40" s="448" t="s">
        <v>1121</v>
      </c>
      <c r="R40" s="453" t="s">
        <v>1122</v>
      </c>
      <c r="S40" s="448" t="s">
        <v>1123</v>
      </c>
      <c r="T40" s="448" t="s">
        <v>1124</v>
      </c>
      <c r="U40" s="448" t="s">
        <v>1125</v>
      </c>
      <c r="V40" s="448" t="s">
        <v>1126</v>
      </c>
    </row>
    <row r="41" spans="1:22" ht="14.25">
      <c r="A41" s="448">
        <v>41</v>
      </c>
      <c r="B41" s="448" t="str">
        <f t="shared" si="0"/>
        <v>Trad41</v>
      </c>
      <c r="C41" s="449" t="s">
        <v>1127</v>
      </c>
      <c r="D41" s="448" t="s">
        <v>1128</v>
      </c>
      <c r="E41" s="448" t="s">
        <v>1129</v>
      </c>
      <c r="F41" s="448" t="s">
        <v>1130</v>
      </c>
      <c r="G41" s="448" t="s">
        <v>1131</v>
      </c>
      <c r="H41" s="448" t="s">
        <v>1132</v>
      </c>
      <c r="I41" s="448" t="s">
        <v>1133</v>
      </c>
      <c r="J41" s="451" t="s">
        <v>1134</v>
      </c>
      <c r="K41" s="450" t="s">
        <v>1135</v>
      </c>
      <c r="L41" s="452" t="s">
        <v>1136</v>
      </c>
      <c r="M41" s="448" t="s">
        <v>1137</v>
      </c>
      <c r="N41" s="448" t="s">
        <v>1138</v>
      </c>
      <c r="O41" s="448" t="s">
        <v>1139</v>
      </c>
      <c r="P41" s="448" t="s">
        <v>1140</v>
      </c>
      <c r="Q41" s="448" t="s">
        <v>1141</v>
      </c>
      <c r="R41" s="453" t="s">
        <v>1142</v>
      </c>
      <c r="S41" s="448" t="s">
        <v>1143</v>
      </c>
      <c r="T41" s="448" t="s">
        <v>1144</v>
      </c>
      <c r="U41" s="448" t="s">
        <v>1145</v>
      </c>
      <c r="V41" s="448" t="s">
        <v>1146</v>
      </c>
    </row>
    <row r="42" spans="1:22" ht="14.25">
      <c r="A42" s="448">
        <v>42</v>
      </c>
      <c r="B42" s="448" t="str">
        <f t="shared" si="0"/>
        <v>Trad42</v>
      </c>
      <c r="C42" s="449" t="s">
        <v>1147</v>
      </c>
      <c r="D42" s="448" t="s">
        <v>1148</v>
      </c>
      <c r="E42" s="448" t="s">
        <v>1149</v>
      </c>
      <c r="F42" s="448" t="s">
        <v>1150</v>
      </c>
      <c r="G42" s="448" t="s">
        <v>1151</v>
      </c>
      <c r="H42" s="448" t="s">
        <v>1152</v>
      </c>
      <c r="I42" s="448" t="s">
        <v>1153</v>
      </c>
      <c r="J42" s="451" t="s">
        <v>1154</v>
      </c>
      <c r="K42" s="450" t="s">
        <v>1155</v>
      </c>
      <c r="L42" s="452" t="s">
        <v>1156</v>
      </c>
      <c r="M42" s="448" t="s">
        <v>1157</v>
      </c>
      <c r="N42" s="448" t="s">
        <v>1158</v>
      </c>
      <c r="O42" s="448" t="s">
        <v>1159</v>
      </c>
      <c r="P42" s="448" t="s">
        <v>1160</v>
      </c>
      <c r="Q42" s="448" t="s">
        <v>1161</v>
      </c>
      <c r="R42" s="453" t="s">
        <v>1162</v>
      </c>
      <c r="S42" s="448" t="s">
        <v>1163</v>
      </c>
      <c r="T42" s="448" t="s">
        <v>1164</v>
      </c>
      <c r="U42" s="448" t="s">
        <v>1165</v>
      </c>
      <c r="V42" s="448" t="s">
        <v>1166</v>
      </c>
    </row>
    <row r="43" spans="1:22" ht="14.25">
      <c r="A43" s="448">
        <v>43</v>
      </c>
      <c r="B43" s="448" t="str">
        <f t="shared" si="0"/>
        <v>Trad43</v>
      </c>
      <c r="C43" s="449" t="s">
        <v>1167</v>
      </c>
      <c r="D43" s="448" t="s">
        <v>1168</v>
      </c>
      <c r="E43" s="448" t="s">
        <v>1169</v>
      </c>
      <c r="F43" s="448" t="s">
        <v>1170</v>
      </c>
      <c r="G43" s="448" t="s">
        <v>1171</v>
      </c>
      <c r="H43" s="448" t="s">
        <v>1172</v>
      </c>
      <c r="I43" s="448" t="s">
        <v>1173</v>
      </c>
      <c r="J43" s="451" t="s">
        <v>1174</v>
      </c>
      <c r="K43" s="450" t="s">
        <v>1175</v>
      </c>
      <c r="L43" s="452" t="s">
        <v>1176</v>
      </c>
      <c r="M43" s="448" t="s">
        <v>1177</v>
      </c>
      <c r="N43" s="448" t="s">
        <v>1178</v>
      </c>
      <c r="O43" s="448" t="s">
        <v>1179</v>
      </c>
      <c r="P43" s="448" t="s">
        <v>1180</v>
      </c>
      <c r="Q43" s="448" t="s">
        <v>1181</v>
      </c>
      <c r="R43" s="453" t="s">
        <v>1182</v>
      </c>
      <c r="S43" s="448" t="s">
        <v>1183</v>
      </c>
      <c r="T43" s="448" t="s">
        <v>1184</v>
      </c>
      <c r="U43" s="448" t="s">
        <v>1185</v>
      </c>
      <c r="V43" s="448" t="s">
        <v>1186</v>
      </c>
    </row>
    <row r="44" spans="1:22" ht="14.25">
      <c r="A44" s="448">
        <v>44</v>
      </c>
      <c r="B44" s="448" t="str">
        <f t="shared" si="0"/>
        <v>Trad44</v>
      </c>
      <c r="C44" s="449" t="s">
        <v>1187</v>
      </c>
      <c r="D44" s="448" t="s">
        <v>1188</v>
      </c>
      <c r="E44" s="448" t="s">
        <v>1189</v>
      </c>
      <c r="F44" s="448" t="s">
        <v>1190</v>
      </c>
      <c r="G44" s="448" t="s">
        <v>1191</v>
      </c>
      <c r="H44" s="448" t="s">
        <v>1192</v>
      </c>
      <c r="I44" s="448" t="s">
        <v>1193</v>
      </c>
      <c r="J44" s="451" t="s">
        <v>1194</v>
      </c>
      <c r="K44" s="448" t="s">
        <v>1195</v>
      </c>
      <c r="L44" s="452" t="s">
        <v>1196</v>
      </c>
      <c r="M44" s="448" t="s">
        <v>1197</v>
      </c>
      <c r="N44" s="448" t="s">
        <v>1198</v>
      </c>
      <c r="O44" s="448" t="s">
        <v>1199</v>
      </c>
      <c r="P44" s="448" t="s">
        <v>1200</v>
      </c>
      <c r="Q44" s="448" t="s">
        <v>1201</v>
      </c>
      <c r="R44" s="453" t="s">
        <v>1202</v>
      </c>
      <c r="S44" s="448" t="s">
        <v>1203</v>
      </c>
      <c r="T44" s="448" t="s">
        <v>1204</v>
      </c>
      <c r="U44" s="448" t="s">
        <v>1205</v>
      </c>
      <c r="V44" s="448" t="s">
        <v>1206</v>
      </c>
    </row>
    <row r="45" spans="1:22" ht="25.5">
      <c r="A45" s="448">
        <v>45</v>
      </c>
      <c r="B45" s="448" t="str">
        <f t="shared" si="0"/>
        <v>Trad45</v>
      </c>
      <c r="C45" s="449" t="s">
        <v>1207</v>
      </c>
      <c r="D45" s="448" t="s">
        <v>1208</v>
      </c>
      <c r="E45" s="448" t="s">
        <v>1209</v>
      </c>
      <c r="F45" s="448" t="s">
        <v>1210</v>
      </c>
      <c r="G45" s="448" t="s">
        <v>1211</v>
      </c>
      <c r="H45" s="448" t="s">
        <v>1212</v>
      </c>
      <c r="I45" s="448" t="s">
        <v>1213</v>
      </c>
      <c r="J45" s="451" t="s">
        <v>1214</v>
      </c>
      <c r="K45" s="450" t="s">
        <v>1215</v>
      </c>
      <c r="L45" s="452" t="s">
        <v>1216</v>
      </c>
      <c r="M45" s="448" t="s">
        <v>1217</v>
      </c>
      <c r="N45" s="448" t="s">
        <v>1218</v>
      </c>
      <c r="O45" s="448" t="s">
        <v>1219</v>
      </c>
      <c r="P45" s="448" t="s">
        <v>1220</v>
      </c>
      <c r="Q45" s="448" t="s">
        <v>1221</v>
      </c>
      <c r="R45" s="453" t="s">
        <v>1222</v>
      </c>
      <c r="S45" s="448" t="s">
        <v>1223</v>
      </c>
      <c r="T45" s="448" t="s">
        <v>1224</v>
      </c>
      <c r="U45" s="448" t="s">
        <v>1225</v>
      </c>
      <c r="V45" s="448" t="s">
        <v>1226</v>
      </c>
    </row>
    <row r="46" spans="1:22" ht="14.25">
      <c r="A46" s="448">
        <v>46</v>
      </c>
      <c r="B46" s="448" t="str">
        <f t="shared" si="0"/>
        <v>Trad46</v>
      </c>
      <c r="C46" s="449" t="s">
        <v>1227</v>
      </c>
      <c r="D46" s="448" t="s">
        <v>1228</v>
      </c>
      <c r="E46" s="448" t="s">
        <v>1229</v>
      </c>
      <c r="F46" s="448" t="s">
        <v>1230</v>
      </c>
      <c r="G46" s="448" t="s">
        <v>1231</v>
      </c>
      <c r="H46" s="448" t="s">
        <v>1232</v>
      </c>
      <c r="I46" s="448" t="s">
        <v>1233</v>
      </c>
      <c r="J46" s="451" t="s">
        <v>1234</v>
      </c>
      <c r="K46" s="450" t="s">
        <v>1235</v>
      </c>
      <c r="L46" s="452" t="s">
        <v>1236</v>
      </c>
      <c r="M46" s="448" t="s">
        <v>1237</v>
      </c>
      <c r="N46" s="448" t="s">
        <v>1238</v>
      </c>
      <c r="O46" s="448" t="s">
        <v>1239</v>
      </c>
      <c r="P46" s="448" t="s">
        <v>1240</v>
      </c>
      <c r="Q46" s="448" t="s">
        <v>1241</v>
      </c>
      <c r="R46" s="453" t="s">
        <v>1242</v>
      </c>
      <c r="S46" s="448" t="s">
        <v>1243</v>
      </c>
      <c r="T46" s="448" t="s">
        <v>1244</v>
      </c>
      <c r="U46" s="448" t="s">
        <v>1245</v>
      </c>
      <c r="V46" s="448" t="s">
        <v>1246</v>
      </c>
    </row>
    <row r="47" spans="1:22" ht="14.25">
      <c r="A47" s="448">
        <v>47</v>
      </c>
      <c r="B47" s="448" t="str">
        <f t="shared" si="0"/>
        <v>Trad47</v>
      </c>
      <c r="C47" s="449" t="s">
        <v>1247</v>
      </c>
      <c r="D47" s="448" t="s">
        <v>1248</v>
      </c>
      <c r="E47" s="448" t="s">
        <v>1249</v>
      </c>
      <c r="F47" s="448" t="s">
        <v>1250</v>
      </c>
      <c r="G47" s="448" t="s">
        <v>1251</v>
      </c>
      <c r="H47" s="448" t="s">
        <v>1252</v>
      </c>
      <c r="I47" s="448" t="s">
        <v>1253</v>
      </c>
      <c r="J47" s="451" t="s">
        <v>1254</v>
      </c>
      <c r="K47" s="450" t="s">
        <v>1255</v>
      </c>
      <c r="L47" s="452" t="s">
        <v>1256</v>
      </c>
      <c r="M47" s="448" t="s">
        <v>1257</v>
      </c>
      <c r="N47" s="448" t="s">
        <v>1258</v>
      </c>
      <c r="O47" s="448" t="s">
        <v>1259</v>
      </c>
      <c r="P47" s="448" t="s">
        <v>1260</v>
      </c>
      <c r="Q47" s="448" t="s">
        <v>1261</v>
      </c>
      <c r="R47" s="453" t="s">
        <v>1262</v>
      </c>
      <c r="S47" s="448" t="s">
        <v>1263</v>
      </c>
      <c r="T47" s="448" t="s">
        <v>1264</v>
      </c>
      <c r="U47" s="448" t="s">
        <v>1265</v>
      </c>
      <c r="V47" s="448" t="s">
        <v>1266</v>
      </c>
    </row>
    <row r="48" spans="1:22" ht="14.25">
      <c r="A48" s="448">
        <v>48</v>
      </c>
      <c r="B48" s="448" t="str">
        <f t="shared" si="0"/>
        <v>Trad48</v>
      </c>
      <c r="C48" s="449" t="s">
        <v>1267</v>
      </c>
      <c r="D48" s="448" t="s">
        <v>1268</v>
      </c>
      <c r="E48" s="448" t="s">
        <v>1269</v>
      </c>
      <c r="F48" s="448" t="s">
        <v>1270</v>
      </c>
      <c r="G48" s="448" t="s">
        <v>1271</v>
      </c>
      <c r="H48" s="448" t="s">
        <v>1272</v>
      </c>
      <c r="I48" s="448" t="s">
        <v>1273</v>
      </c>
      <c r="J48" s="451" t="s">
        <v>1274</v>
      </c>
      <c r="K48" s="448" t="s">
        <v>1275</v>
      </c>
      <c r="L48" s="452" t="s">
        <v>1276</v>
      </c>
      <c r="M48" s="448" t="s">
        <v>1277</v>
      </c>
      <c r="N48" s="448" t="s">
        <v>1278</v>
      </c>
      <c r="O48" s="448" t="s">
        <v>1279</v>
      </c>
      <c r="P48" s="448" t="s">
        <v>1280</v>
      </c>
      <c r="Q48" s="448" t="s">
        <v>1281</v>
      </c>
      <c r="R48" s="453" t="s">
        <v>1282</v>
      </c>
      <c r="S48" s="448" t="s">
        <v>1283</v>
      </c>
      <c r="T48" s="448" t="s">
        <v>1284</v>
      </c>
      <c r="U48" s="448" t="s">
        <v>1285</v>
      </c>
      <c r="V48" s="448" t="s">
        <v>1286</v>
      </c>
    </row>
    <row r="49" spans="1:22" ht="14.25">
      <c r="A49" s="448">
        <v>49</v>
      </c>
      <c r="B49" s="448" t="str">
        <f t="shared" si="0"/>
        <v>Trad49</v>
      </c>
      <c r="C49" s="449" t="s">
        <v>1287</v>
      </c>
      <c r="D49" s="448" t="s">
        <v>1288</v>
      </c>
      <c r="E49" s="448" t="s">
        <v>1289</v>
      </c>
      <c r="F49" s="448" t="s">
        <v>1290</v>
      </c>
      <c r="G49" s="448" t="s">
        <v>1291</v>
      </c>
      <c r="H49" s="448" t="s">
        <v>1292</v>
      </c>
      <c r="I49" s="448" t="s">
        <v>1293</v>
      </c>
      <c r="J49" s="451" t="s">
        <v>1294</v>
      </c>
      <c r="K49" s="448" t="s">
        <v>1295</v>
      </c>
      <c r="L49" s="452" t="s">
        <v>1296</v>
      </c>
      <c r="M49" s="448" t="s">
        <v>1297</v>
      </c>
      <c r="N49" s="448" t="s">
        <v>1298</v>
      </c>
      <c r="O49" s="448" t="s">
        <v>1299</v>
      </c>
      <c r="P49" s="448" t="s">
        <v>1300</v>
      </c>
      <c r="Q49" s="448" t="s">
        <v>1301</v>
      </c>
      <c r="R49" s="453" t="s">
        <v>1302</v>
      </c>
      <c r="S49" s="448" t="s">
        <v>1303</v>
      </c>
      <c r="T49" s="448" t="s">
        <v>1304</v>
      </c>
      <c r="U49" s="448" t="s">
        <v>1305</v>
      </c>
      <c r="V49" s="448" t="s">
        <v>1306</v>
      </c>
    </row>
    <row r="50" spans="1:22" ht="14.25">
      <c r="A50" s="448">
        <v>50</v>
      </c>
      <c r="B50" s="448" t="str">
        <f t="shared" si="0"/>
        <v>Trad50</v>
      </c>
      <c r="C50" s="449" t="s">
        <v>1307</v>
      </c>
      <c r="D50" s="448" t="s">
        <v>1308</v>
      </c>
      <c r="E50" s="448" t="s">
        <v>1309</v>
      </c>
      <c r="F50" s="448" t="s">
        <v>1310</v>
      </c>
      <c r="G50" s="448" t="s">
        <v>1311</v>
      </c>
      <c r="H50" s="448" t="s">
        <v>1312</v>
      </c>
      <c r="I50" s="448" t="s">
        <v>1313</v>
      </c>
      <c r="J50" s="451" t="s">
        <v>1314</v>
      </c>
      <c r="K50" s="448" t="s">
        <v>1315</v>
      </c>
      <c r="L50" s="452" t="s">
        <v>1316</v>
      </c>
      <c r="M50" s="448" t="s">
        <v>1317</v>
      </c>
      <c r="N50" s="448" t="s">
        <v>1318</v>
      </c>
      <c r="O50" s="448" t="s">
        <v>1319</v>
      </c>
      <c r="P50" s="448" t="s">
        <v>1320</v>
      </c>
      <c r="Q50" s="448" t="s">
        <v>1321</v>
      </c>
      <c r="R50" s="453" t="s">
        <v>1322</v>
      </c>
      <c r="S50" s="448" t="s">
        <v>1323</v>
      </c>
      <c r="T50" s="448" t="s">
        <v>1324</v>
      </c>
      <c r="U50" s="448" t="s">
        <v>1325</v>
      </c>
      <c r="V50" s="448" t="s">
        <v>1326</v>
      </c>
    </row>
    <row r="51" spans="1:22" ht="14.25">
      <c r="A51" s="448">
        <v>51</v>
      </c>
      <c r="B51" s="448" t="str">
        <f t="shared" si="0"/>
        <v>Trad51</v>
      </c>
      <c r="C51" s="449" t="s">
        <v>1327</v>
      </c>
      <c r="D51" s="448" t="s">
        <v>1328</v>
      </c>
      <c r="E51" s="448" t="s">
        <v>1329</v>
      </c>
      <c r="F51" s="448" t="s">
        <v>1330</v>
      </c>
      <c r="G51" s="448" t="s">
        <v>1331</v>
      </c>
      <c r="H51" s="448" t="s">
        <v>1332</v>
      </c>
      <c r="I51" s="448" t="s">
        <v>1333</v>
      </c>
      <c r="J51" s="451" t="s">
        <v>1334</v>
      </c>
      <c r="K51" s="448" t="s">
        <v>1335</v>
      </c>
      <c r="L51" s="452" t="s">
        <v>1336</v>
      </c>
      <c r="M51" s="448" t="s">
        <v>1337</v>
      </c>
      <c r="N51" s="448" t="s">
        <v>1338</v>
      </c>
      <c r="O51" s="448" t="s">
        <v>1339</v>
      </c>
      <c r="P51" s="448" t="s">
        <v>1340</v>
      </c>
      <c r="Q51" s="448" t="s">
        <v>1341</v>
      </c>
      <c r="R51" s="453" t="s">
        <v>1342</v>
      </c>
      <c r="S51" s="448" t="s">
        <v>1343</v>
      </c>
      <c r="T51" s="448" t="s">
        <v>1344</v>
      </c>
      <c r="U51" s="448" t="s">
        <v>1345</v>
      </c>
      <c r="V51" s="448" t="s">
        <v>1346</v>
      </c>
    </row>
    <row r="52" spans="1:22" ht="14.25">
      <c r="A52" s="448">
        <v>52</v>
      </c>
      <c r="B52" s="448" t="str">
        <f t="shared" si="0"/>
        <v>Trad52</v>
      </c>
      <c r="C52" s="449" t="s">
        <v>1347</v>
      </c>
      <c r="D52" s="448" t="s">
        <v>1348</v>
      </c>
      <c r="E52" s="448" t="s">
        <v>1349</v>
      </c>
      <c r="F52" s="448" t="s">
        <v>1350</v>
      </c>
      <c r="G52" s="448" t="s">
        <v>1351</v>
      </c>
      <c r="H52" s="448" t="s">
        <v>1352</v>
      </c>
      <c r="I52" s="448" t="s">
        <v>1353</v>
      </c>
      <c r="J52" s="451" t="s">
        <v>1354</v>
      </c>
      <c r="K52" s="450" t="s">
        <v>1355</v>
      </c>
      <c r="L52" s="452" t="s">
        <v>1356</v>
      </c>
      <c r="M52" s="448" t="s">
        <v>1357</v>
      </c>
      <c r="N52" s="448" t="s">
        <v>1358</v>
      </c>
      <c r="O52" s="448" t="s">
        <v>1359</v>
      </c>
      <c r="P52" s="448" t="s">
        <v>1360</v>
      </c>
      <c r="Q52" s="448" t="s">
        <v>1361</v>
      </c>
      <c r="R52" s="453" t="s">
        <v>1362</v>
      </c>
      <c r="S52" s="448" t="s">
        <v>1363</v>
      </c>
      <c r="T52" s="448" t="s">
        <v>1364</v>
      </c>
      <c r="U52" s="448" t="s">
        <v>1365</v>
      </c>
      <c r="V52" s="448" t="s">
        <v>1366</v>
      </c>
    </row>
    <row r="53" spans="1:22" ht="14.25">
      <c r="A53" s="448">
        <v>53</v>
      </c>
      <c r="B53" s="448" t="str">
        <f t="shared" si="0"/>
        <v>Trad53</v>
      </c>
      <c r="C53" s="449" t="s">
        <v>1367</v>
      </c>
      <c r="D53" s="448" t="s">
        <v>1368</v>
      </c>
      <c r="E53" s="448" t="s">
        <v>1369</v>
      </c>
      <c r="F53" s="448" t="s">
        <v>1370</v>
      </c>
      <c r="G53" s="448" t="s">
        <v>1371</v>
      </c>
      <c r="H53" s="448" t="s">
        <v>1372</v>
      </c>
      <c r="I53" s="448" t="s">
        <v>1373</v>
      </c>
      <c r="J53" s="451" t="s">
        <v>1374</v>
      </c>
      <c r="K53" s="450" t="s">
        <v>1375</v>
      </c>
      <c r="L53" s="452" t="s">
        <v>1376</v>
      </c>
      <c r="M53" s="448" t="s">
        <v>1377</v>
      </c>
      <c r="N53" s="448" t="s">
        <v>1378</v>
      </c>
      <c r="O53" s="448" t="s">
        <v>1379</v>
      </c>
      <c r="P53" s="448" t="s">
        <v>1380</v>
      </c>
      <c r="Q53" s="448" t="s">
        <v>1381</v>
      </c>
      <c r="R53" s="453" t="s">
        <v>1382</v>
      </c>
      <c r="S53" s="448" t="s">
        <v>1374</v>
      </c>
      <c r="T53" s="448" t="s">
        <v>1383</v>
      </c>
      <c r="U53" s="448" t="s">
        <v>1384</v>
      </c>
      <c r="V53" s="448" t="s">
        <v>1385</v>
      </c>
    </row>
    <row r="54" spans="1:22" ht="14.25">
      <c r="A54" s="448">
        <v>54</v>
      </c>
      <c r="B54" s="448" t="str">
        <f t="shared" si="0"/>
        <v>Trad54</v>
      </c>
      <c r="C54" s="449" t="s">
        <v>1386</v>
      </c>
      <c r="D54" s="448" t="s">
        <v>1387</v>
      </c>
      <c r="E54" s="448" t="s">
        <v>1388</v>
      </c>
      <c r="F54" s="448" t="s">
        <v>1389</v>
      </c>
      <c r="G54" s="448" t="s">
        <v>1386</v>
      </c>
      <c r="H54" s="448" t="s">
        <v>1390</v>
      </c>
      <c r="I54" s="448" t="s">
        <v>1391</v>
      </c>
      <c r="J54" s="451" t="s">
        <v>1389</v>
      </c>
      <c r="K54" s="448" t="s">
        <v>1392</v>
      </c>
      <c r="L54" s="452" t="s">
        <v>1393</v>
      </c>
      <c r="M54" s="448" t="s">
        <v>1394</v>
      </c>
      <c r="N54" s="448" t="s">
        <v>1389</v>
      </c>
      <c r="O54" s="448" t="s">
        <v>1386</v>
      </c>
      <c r="P54" s="448" t="s">
        <v>1389</v>
      </c>
      <c r="Q54" s="448" t="s">
        <v>1389</v>
      </c>
      <c r="R54" s="453" t="s">
        <v>1395</v>
      </c>
      <c r="S54" s="448" t="s">
        <v>1389</v>
      </c>
      <c r="T54" s="448" t="s">
        <v>1396</v>
      </c>
      <c r="U54" s="448" t="s">
        <v>1397</v>
      </c>
      <c r="V54" s="448" t="s">
        <v>1398</v>
      </c>
    </row>
    <row r="55" spans="1:22" ht="14.25">
      <c r="A55" s="448">
        <v>55</v>
      </c>
      <c r="B55" s="448" t="str">
        <f t="shared" si="0"/>
        <v>Trad55</v>
      </c>
      <c r="C55" s="449" t="s">
        <v>1399</v>
      </c>
      <c r="D55" s="448" t="s">
        <v>1400</v>
      </c>
      <c r="E55" s="448" t="s">
        <v>1401</v>
      </c>
      <c r="F55" s="448" t="s">
        <v>1400</v>
      </c>
      <c r="G55" s="448" t="s">
        <v>1402</v>
      </c>
      <c r="H55" s="448" t="s">
        <v>1403</v>
      </c>
      <c r="I55" s="448" t="s">
        <v>1404</v>
      </c>
      <c r="J55" s="451" t="s">
        <v>1405</v>
      </c>
      <c r="K55" s="448" t="s">
        <v>1406</v>
      </c>
      <c r="L55" s="452" t="s">
        <v>1406</v>
      </c>
      <c r="M55" s="448" t="s">
        <v>1407</v>
      </c>
      <c r="N55" s="448" t="s">
        <v>1408</v>
      </c>
      <c r="O55" s="448" t="s">
        <v>1409</v>
      </c>
      <c r="P55" s="448" t="s">
        <v>1400</v>
      </c>
      <c r="Q55" s="448" t="s">
        <v>1400</v>
      </c>
      <c r="R55" s="453" t="s">
        <v>1407</v>
      </c>
      <c r="S55" s="448" t="s">
        <v>1410</v>
      </c>
      <c r="T55" s="448" t="s">
        <v>1411</v>
      </c>
      <c r="U55" s="448" t="s">
        <v>1408</v>
      </c>
      <c r="V55" s="448" t="s">
        <v>1412</v>
      </c>
    </row>
    <row r="56" spans="1:22" ht="14.25">
      <c r="A56" s="448">
        <v>56</v>
      </c>
      <c r="B56" s="448" t="str">
        <f t="shared" si="0"/>
        <v>Trad56</v>
      </c>
      <c r="C56" s="449" t="s">
        <v>1413</v>
      </c>
      <c r="D56" s="448" t="s">
        <v>1414</v>
      </c>
      <c r="E56" s="448" t="s">
        <v>1415</v>
      </c>
      <c r="F56" s="448" t="s">
        <v>1416</v>
      </c>
      <c r="G56" s="448" t="s">
        <v>1417</v>
      </c>
      <c r="H56" s="448" t="s">
        <v>1418</v>
      </c>
      <c r="I56" s="448" t="s">
        <v>1419</v>
      </c>
      <c r="J56" s="451" t="s">
        <v>1420</v>
      </c>
      <c r="K56" s="450" t="s">
        <v>1421</v>
      </c>
      <c r="L56" s="452" t="s">
        <v>1422</v>
      </c>
      <c r="M56" s="448" t="s">
        <v>1423</v>
      </c>
      <c r="N56" s="448" t="s">
        <v>1424</v>
      </c>
      <c r="O56" s="448" t="s">
        <v>1425</v>
      </c>
      <c r="P56" s="448" t="s">
        <v>1426</v>
      </c>
      <c r="Q56" s="448" t="s">
        <v>1427</v>
      </c>
      <c r="R56" s="453" t="s">
        <v>1428</v>
      </c>
      <c r="S56" s="448" t="s">
        <v>1420</v>
      </c>
      <c r="T56" s="448" t="s">
        <v>1429</v>
      </c>
      <c r="U56" s="448" t="s">
        <v>1430</v>
      </c>
      <c r="V56" s="448" t="s">
        <v>1431</v>
      </c>
    </row>
    <row r="57" spans="1:22" ht="14.25">
      <c r="A57" s="448">
        <v>57</v>
      </c>
      <c r="B57" s="448" t="str">
        <f t="shared" si="0"/>
        <v>Trad57</v>
      </c>
      <c r="C57" s="449" t="s">
        <v>1432</v>
      </c>
      <c r="D57" s="448" t="s">
        <v>1433</v>
      </c>
      <c r="E57" s="448" t="s">
        <v>1434</v>
      </c>
      <c r="F57" s="448" t="s">
        <v>1435</v>
      </c>
      <c r="G57" s="448" t="s">
        <v>1436</v>
      </c>
      <c r="H57" s="448" t="s">
        <v>1437</v>
      </c>
      <c r="I57" s="448" t="s">
        <v>1438</v>
      </c>
      <c r="J57" s="451" t="s">
        <v>1439</v>
      </c>
      <c r="K57" s="448" t="s">
        <v>1440</v>
      </c>
      <c r="L57" s="452" t="s">
        <v>1441</v>
      </c>
      <c r="M57" s="448" t="s">
        <v>1442</v>
      </c>
      <c r="N57" s="448" t="s">
        <v>1443</v>
      </c>
      <c r="O57" s="448" t="s">
        <v>1444</v>
      </c>
      <c r="P57" s="448" t="s">
        <v>1445</v>
      </c>
      <c r="Q57" s="448" t="s">
        <v>1446</v>
      </c>
      <c r="R57" s="453" t="s">
        <v>1447</v>
      </c>
      <c r="S57" s="448" t="s">
        <v>1448</v>
      </c>
      <c r="T57" s="448" t="s">
        <v>1449</v>
      </c>
      <c r="U57" s="448" t="s">
        <v>1450</v>
      </c>
      <c r="V57" s="448" t="s">
        <v>1451</v>
      </c>
    </row>
    <row r="58" spans="1:22" ht="14.25">
      <c r="A58" s="448">
        <v>58</v>
      </c>
      <c r="B58" s="448" t="str">
        <f t="shared" si="0"/>
        <v>Trad58</v>
      </c>
      <c r="C58" s="449" t="s">
        <v>1452</v>
      </c>
      <c r="D58" s="448" t="s">
        <v>1453</v>
      </c>
      <c r="E58" s="448" t="s">
        <v>1454</v>
      </c>
      <c r="F58" s="448" t="s">
        <v>1455</v>
      </c>
      <c r="G58" s="448" t="s">
        <v>1456</v>
      </c>
      <c r="H58" s="448" t="s">
        <v>1457</v>
      </c>
      <c r="I58" s="448" t="s">
        <v>1353</v>
      </c>
      <c r="J58" s="451" t="s">
        <v>1458</v>
      </c>
      <c r="K58" s="448" t="s">
        <v>1459</v>
      </c>
      <c r="L58" s="452" t="s">
        <v>1460</v>
      </c>
      <c r="M58" s="448" t="s">
        <v>1458</v>
      </c>
      <c r="N58" s="448" t="s">
        <v>1461</v>
      </c>
      <c r="O58" s="448" t="s">
        <v>1462</v>
      </c>
      <c r="P58" s="448" t="s">
        <v>1463</v>
      </c>
      <c r="Q58" s="448" t="s">
        <v>1464</v>
      </c>
      <c r="R58" s="453" t="s">
        <v>422</v>
      </c>
      <c r="S58" s="448" t="s">
        <v>1465</v>
      </c>
      <c r="T58" s="448" t="s">
        <v>1466</v>
      </c>
      <c r="U58" s="448" t="s">
        <v>1467</v>
      </c>
      <c r="V58" s="448" t="s">
        <v>1468</v>
      </c>
    </row>
    <row r="59" spans="1:22" ht="14.25">
      <c r="A59" s="448">
        <v>59</v>
      </c>
      <c r="B59" s="448" t="str">
        <f t="shared" si="0"/>
        <v>Trad59</v>
      </c>
      <c r="C59" s="449" t="s">
        <v>1469</v>
      </c>
      <c r="D59" s="448" t="s">
        <v>1470</v>
      </c>
      <c r="E59" s="448" t="s">
        <v>1471</v>
      </c>
      <c r="F59" s="448" t="s">
        <v>1472</v>
      </c>
      <c r="G59" s="448" t="s">
        <v>1473</v>
      </c>
      <c r="H59" s="448" t="s">
        <v>1474</v>
      </c>
      <c r="I59" s="448" t="s">
        <v>1475</v>
      </c>
      <c r="J59" s="451" t="s">
        <v>1476</v>
      </c>
      <c r="K59" s="448" t="s">
        <v>1477</v>
      </c>
      <c r="L59" s="452" t="s">
        <v>1478</v>
      </c>
      <c r="M59" s="448" t="s">
        <v>1479</v>
      </c>
      <c r="N59" s="448" t="s">
        <v>1480</v>
      </c>
      <c r="O59" s="448" t="s">
        <v>1481</v>
      </c>
      <c r="P59" s="448" t="s">
        <v>1476</v>
      </c>
      <c r="Q59" s="448" t="s">
        <v>1476</v>
      </c>
      <c r="R59" s="453" t="s">
        <v>1482</v>
      </c>
      <c r="S59" s="448" t="s">
        <v>1476</v>
      </c>
      <c r="T59" s="448" t="s">
        <v>1483</v>
      </c>
      <c r="U59" s="448" t="s">
        <v>1484</v>
      </c>
      <c r="V59" s="448" t="s">
        <v>1485</v>
      </c>
    </row>
    <row r="60" spans="1:22" ht="14.25">
      <c r="A60" s="448">
        <v>60</v>
      </c>
      <c r="B60" s="448" t="str">
        <f t="shared" si="0"/>
        <v>Trad60</v>
      </c>
      <c r="C60" s="449" t="s">
        <v>1486</v>
      </c>
      <c r="D60" s="448" t="s">
        <v>1487</v>
      </c>
      <c r="E60" s="448" t="s">
        <v>1488</v>
      </c>
      <c r="F60" s="448" t="s">
        <v>1489</v>
      </c>
      <c r="G60" s="448" t="s">
        <v>1490</v>
      </c>
      <c r="H60" s="448" t="s">
        <v>1491</v>
      </c>
      <c r="I60" s="448" t="s">
        <v>1490</v>
      </c>
      <c r="J60" s="451" t="s">
        <v>1490</v>
      </c>
      <c r="K60" s="450" t="s">
        <v>1492</v>
      </c>
      <c r="L60" s="452" t="s">
        <v>1493</v>
      </c>
      <c r="M60" s="448" t="s">
        <v>1490</v>
      </c>
      <c r="N60" s="448" t="s">
        <v>1490</v>
      </c>
      <c r="O60" s="448" t="s">
        <v>1490</v>
      </c>
      <c r="P60" s="448" t="s">
        <v>1494</v>
      </c>
      <c r="Q60" s="448" t="s">
        <v>1495</v>
      </c>
      <c r="R60" s="453" t="s">
        <v>1496</v>
      </c>
      <c r="S60" s="448" t="s">
        <v>1490</v>
      </c>
      <c r="T60" s="448" t="s">
        <v>1497</v>
      </c>
      <c r="U60" s="448" t="s">
        <v>1498</v>
      </c>
      <c r="V60" s="448" t="s">
        <v>1499</v>
      </c>
    </row>
    <row r="61" spans="1:22" ht="14.25">
      <c r="A61" s="448">
        <v>61</v>
      </c>
      <c r="B61" s="448" t="str">
        <f t="shared" si="0"/>
        <v>Trad61</v>
      </c>
      <c r="C61" s="449" t="s">
        <v>1500</v>
      </c>
      <c r="D61" s="448" t="s">
        <v>1501</v>
      </c>
      <c r="E61" s="448" t="s">
        <v>1502</v>
      </c>
      <c r="F61" s="448" t="s">
        <v>1503</v>
      </c>
      <c r="G61" s="448" t="s">
        <v>1504</v>
      </c>
      <c r="H61" s="448" t="s">
        <v>1505</v>
      </c>
      <c r="I61" s="448" t="s">
        <v>1506</v>
      </c>
      <c r="J61" s="451" t="s">
        <v>1507</v>
      </c>
      <c r="K61" s="450" t="s">
        <v>1508</v>
      </c>
      <c r="L61" s="452" t="s">
        <v>1509</v>
      </c>
      <c r="M61" s="448" t="s">
        <v>1510</v>
      </c>
      <c r="N61" s="448" t="s">
        <v>1511</v>
      </c>
      <c r="O61" s="448" t="s">
        <v>1504</v>
      </c>
      <c r="P61" s="448" t="s">
        <v>1512</v>
      </c>
      <c r="Q61" s="448" t="s">
        <v>1513</v>
      </c>
      <c r="R61" s="453" t="s">
        <v>1514</v>
      </c>
      <c r="S61" s="448" t="s">
        <v>1515</v>
      </c>
      <c r="T61" s="448" t="s">
        <v>1516</v>
      </c>
      <c r="U61" s="448" t="s">
        <v>1517</v>
      </c>
      <c r="V61" s="448" t="s">
        <v>1518</v>
      </c>
    </row>
    <row r="62" spans="1:22" ht="14.25">
      <c r="A62" s="448">
        <v>62</v>
      </c>
      <c r="B62" s="448" t="str">
        <f t="shared" si="0"/>
        <v>Trad62</v>
      </c>
      <c r="C62" s="449" t="s">
        <v>1519</v>
      </c>
      <c r="D62" s="448" t="s">
        <v>1520</v>
      </c>
      <c r="E62" s="448" t="s">
        <v>1521</v>
      </c>
      <c r="F62" s="448" t="s">
        <v>1522</v>
      </c>
      <c r="G62" s="448" t="s">
        <v>1523</v>
      </c>
      <c r="H62" s="448" t="s">
        <v>1524</v>
      </c>
      <c r="I62" s="448" t="s">
        <v>1525</v>
      </c>
      <c r="J62" s="451" t="s">
        <v>1526</v>
      </c>
      <c r="K62" s="450" t="s">
        <v>1527</v>
      </c>
      <c r="L62" s="452" t="s">
        <v>1528</v>
      </c>
      <c r="M62" s="448" t="s">
        <v>1529</v>
      </c>
      <c r="N62" s="448" t="s">
        <v>1530</v>
      </c>
      <c r="O62" s="448" t="s">
        <v>1531</v>
      </c>
      <c r="P62" s="448" t="s">
        <v>873</v>
      </c>
      <c r="Q62" s="448" t="s">
        <v>1532</v>
      </c>
      <c r="R62" s="453" t="s">
        <v>1533</v>
      </c>
      <c r="S62" s="448" t="s">
        <v>1534</v>
      </c>
      <c r="T62" s="448" t="s">
        <v>1535</v>
      </c>
      <c r="U62" s="448" t="s">
        <v>1536</v>
      </c>
      <c r="V62" s="448" t="s">
        <v>1537</v>
      </c>
    </row>
    <row r="63" spans="1:22" ht="14.25">
      <c r="A63" s="448">
        <v>63</v>
      </c>
      <c r="B63" s="448" t="str">
        <f t="shared" si="0"/>
        <v>Trad63</v>
      </c>
      <c r="C63" s="449" t="s">
        <v>1538</v>
      </c>
      <c r="D63" s="448" t="s">
        <v>1539</v>
      </c>
      <c r="E63" s="448" t="s">
        <v>1540</v>
      </c>
      <c r="F63" s="448" t="s">
        <v>1541</v>
      </c>
      <c r="G63" s="448" t="s">
        <v>1542</v>
      </c>
      <c r="H63" s="448" t="s">
        <v>1543</v>
      </c>
      <c r="I63" s="448" t="s">
        <v>1544</v>
      </c>
      <c r="J63" s="451" t="s">
        <v>1545</v>
      </c>
      <c r="K63" s="450" t="s">
        <v>1546</v>
      </c>
      <c r="L63" s="452" t="s">
        <v>1547</v>
      </c>
      <c r="M63" s="448" t="s">
        <v>1548</v>
      </c>
      <c r="N63" s="448" t="s">
        <v>1549</v>
      </c>
      <c r="O63" s="448" t="s">
        <v>1550</v>
      </c>
      <c r="P63" s="448" t="s">
        <v>1551</v>
      </c>
      <c r="Q63" s="448" t="s">
        <v>1552</v>
      </c>
      <c r="R63" s="453" t="s">
        <v>1553</v>
      </c>
      <c r="S63" s="448" t="s">
        <v>1554</v>
      </c>
      <c r="T63" s="448" t="s">
        <v>1555</v>
      </c>
      <c r="U63" s="448" t="s">
        <v>1556</v>
      </c>
      <c r="V63" s="448" t="s">
        <v>1557</v>
      </c>
    </row>
    <row r="64" spans="1:22" ht="14.25">
      <c r="A64" s="448">
        <v>64</v>
      </c>
      <c r="B64" s="448" t="str">
        <f t="shared" si="0"/>
        <v>Trad64</v>
      </c>
      <c r="C64" s="449" t="s">
        <v>1558</v>
      </c>
      <c r="D64" s="450" t="s">
        <v>1559</v>
      </c>
      <c r="E64" s="448" t="s">
        <v>1560</v>
      </c>
      <c r="F64" s="448" t="s">
        <v>1561</v>
      </c>
      <c r="G64" s="448" t="s">
        <v>1562</v>
      </c>
      <c r="H64" s="448" t="s">
        <v>1563</v>
      </c>
      <c r="I64" s="448" t="s">
        <v>1564</v>
      </c>
      <c r="J64" s="451" t="s">
        <v>1565</v>
      </c>
      <c r="K64" s="448" t="s">
        <v>1566</v>
      </c>
      <c r="L64" s="452" t="s">
        <v>1567</v>
      </c>
      <c r="M64" s="448" t="s">
        <v>1568</v>
      </c>
      <c r="N64" s="448" t="s">
        <v>1569</v>
      </c>
      <c r="O64" s="448" t="s">
        <v>1570</v>
      </c>
      <c r="P64" s="448" t="s">
        <v>1571</v>
      </c>
      <c r="Q64" s="448" t="s">
        <v>1572</v>
      </c>
      <c r="R64" s="453" t="s">
        <v>1573</v>
      </c>
      <c r="S64" s="448" t="s">
        <v>1574</v>
      </c>
      <c r="T64" s="448" t="s">
        <v>1575</v>
      </c>
      <c r="U64" s="448" t="s">
        <v>1576</v>
      </c>
      <c r="V64" s="448" t="s">
        <v>1577</v>
      </c>
    </row>
    <row r="65" spans="1:22" ht="14.25">
      <c r="A65" s="448">
        <v>65</v>
      </c>
      <c r="B65" s="448" t="str">
        <f t="shared" si="0"/>
        <v>Trad65</v>
      </c>
      <c r="C65" s="449" t="s">
        <v>1578</v>
      </c>
      <c r="D65" s="448" t="s">
        <v>1579</v>
      </c>
      <c r="E65" s="448" t="s">
        <v>1580</v>
      </c>
      <c r="F65" s="448" t="s">
        <v>1581</v>
      </c>
      <c r="G65" s="448" t="s">
        <v>1582</v>
      </c>
      <c r="H65" s="448" t="s">
        <v>1583</v>
      </c>
      <c r="I65" s="448" t="s">
        <v>1584</v>
      </c>
      <c r="J65" s="451" t="s">
        <v>1585</v>
      </c>
      <c r="K65" s="450" t="s">
        <v>1586</v>
      </c>
      <c r="L65" s="452" t="s">
        <v>1587</v>
      </c>
      <c r="M65" s="448" t="s">
        <v>1588</v>
      </c>
      <c r="N65" s="448" t="s">
        <v>1589</v>
      </c>
      <c r="O65" s="448" t="s">
        <v>1590</v>
      </c>
      <c r="P65" s="448" t="s">
        <v>1591</v>
      </c>
      <c r="Q65" s="448" t="s">
        <v>1592</v>
      </c>
      <c r="R65" s="453" t="s">
        <v>1593</v>
      </c>
      <c r="S65" s="448" t="s">
        <v>1594</v>
      </c>
      <c r="T65" s="448" t="s">
        <v>1595</v>
      </c>
      <c r="U65" s="448" t="s">
        <v>1596</v>
      </c>
      <c r="V65" s="448" t="s">
        <v>1597</v>
      </c>
    </row>
    <row r="66" spans="1:22" ht="14.25">
      <c r="A66" s="448">
        <v>66</v>
      </c>
      <c r="B66" s="448" t="str">
        <f t="shared" ref="B66:B129" si="1">+_xlfn.CONCAT("Trad",A66)</f>
        <v>Trad66</v>
      </c>
      <c r="C66" s="449" t="s">
        <v>1598</v>
      </c>
      <c r="D66" s="448" t="s">
        <v>1599</v>
      </c>
      <c r="E66" s="448" t="s">
        <v>1600</v>
      </c>
      <c r="F66" s="448" t="s">
        <v>1601</v>
      </c>
      <c r="G66" s="448" t="s">
        <v>1602</v>
      </c>
      <c r="H66" s="448" t="s">
        <v>1603</v>
      </c>
      <c r="I66" s="448" t="s">
        <v>1604</v>
      </c>
      <c r="J66" s="451" t="s">
        <v>1605</v>
      </c>
      <c r="K66" s="450" t="s">
        <v>1606</v>
      </c>
      <c r="L66" s="452" t="s">
        <v>1607</v>
      </c>
      <c r="M66" s="448" t="s">
        <v>1608</v>
      </c>
      <c r="N66" s="448" t="s">
        <v>1609</v>
      </c>
      <c r="O66" s="448" t="s">
        <v>1610</v>
      </c>
      <c r="P66" s="448" t="s">
        <v>1611</v>
      </c>
      <c r="Q66" s="448" t="s">
        <v>1612</v>
      </c>
      <c r="R66" s="453" t="s">
        <v>1613</v>
      </c>
      <c r="S66" s="448" t="s">
        <v>1614</v>
      </c>
      <c r="T66" s="448" t="s">
        <v>1615</v>
      </c>
      <c r="U66" s="448" t="s">
        <v>1616</v>
      </c>
      <c r="V66" s="448" t="s">
        <v>1617</v>
      </c>
    </row>
    <row r="67" spans="1:22" ht="14.25">
      <c r="A67" s="448">
        <v>67</v>
      </c>
      <c r="B67" s="448" t="str">
        <f t="shared" si="1"/>
        <v>Trad67</v>
      </c>
      <c r="C67" s="449" t="s">
        <v>1618</v>
      </c>
      <c r="D67" s="448" t="s">
        <v>1619</v>
      </c>
      <c r="E67" s="448" t="s">
        <v>1620</v>
      </c>
      <c r="F67" s="448" t="s">
        <v>1621</v>
      </c>
      <c r="G67" s="448" t="s">
        <v>1622</v>
      </c>
      <c r="H67" s="448" t="s">
        <v>1623</v>
      </c>
      <c r="I67" s="448" t="s">
        <v>1624</v>
      </c>
      <c r="J67" s="451" t="s">
        <v>1625</v>
      </c>
      <c r="K67" s="450" t="s">
        <v>582</v>
      </c>
      <c r="L67" s="452" t="s">
        <v>1626</v>
      </c>
      <c r="M67" s="448" t="s">
        <v>1627</v>
      </c>
      <c r="N67" s="448" t="s">
        <v>1628</v>
      </c>
      <c r="O67" s="448" t="s">
        <v>1629</v>
      </c>
      <c r="P67" s="448" t="s">
        <v>1630</v>
      </c>
      <c r="Q67" s="448" t="s">
        <v>1631</v>
      </c>
      <c r="R67" s="453" t="s">
        <v>1632</v>
      </c>
      <c r="S67" s="448" t="s">
        <v>1633</v>
      </c>
      <c r="T67" s="448" t="s">
        <v>1634</v>
      </c>
      <c r="U67" s="448" t="s">
        <v>1635</v>
      </c>
      <c r="V67" s="448" t="s">
        <v>1636</v>
      </c>
    </row>
    <row r="68" spans="1:22" ht="14.25">
      <c r="A68" s="448">
        <v>68</v>
      </c>
      <c r="B68" s="448" t="str">
        <f t="shared" si="1"/>
        <v>Trad68</v>
      </c>
      <c r="C68" s="449" t="s">
        <v>1637</v>
      </c>
      <c r="D68" s="448" t="s">
        <v>1638</v>
      </c>
      <c r="E68" s="448" t="s">
        <v>1639</v>
      </c>
      <c r="F68" s="448" t="s">
        <v>1640</v>
      </c>
      <c r="G68" s="448" t="s">
        <v>1641</v>
      </c>
      <c r="H68" s="448" t="s">
        <v>1642</v>
      </c>
      <c r="I68" s="448" t="s">
        <v>1643</v>
      </c>
      <c r="J68" s="451" t="s">
        <v>1644</v>
      </c>
      <c r="K68" s="450" t="s">
        <v>1645</v>
      </c>
      <c r="L68" s="452" t="s">
        <v>1646</v>
      </c>
      <c r="M68" s="448" t="s">
        <v>1647</v>
      </c>
      <c r="N68" s="448" t="s">
        <v>1648</v>
      </c>
      <c r="O68" s="448" t="s">
        <v>1649</v>
      </c>
      <c r="P68" s="448" t="s">
        <v>1650</v>
      </c>
      <c r="Q68" s="448" t="s">
        <v>1651</v>
      </c>
      <c r="R68" s="453" t="s">
        <v>1652</v>
      </c>
      <c r="S68" s="448" t="s">
        <v>1653</v>
      </c>
      <c r="T68" s="448" t="s">
        <v>1654</v>
      </c>
      <c r="U68" s="448" t="s">
        <v>1655</v>
      </c>
      <c r="V68" s="448" t="s">
        <v>1656</v>
      </c>
    </row>
    <row r="69" spans="1:22" ht="14.25">
      <c r="A69" s="448">
        <v>69</v>
      </c>
      <c r="B69" s="448" t="str">
        <f t="shared" si="1"/>
        <v>Trad69</v>
      </c>
      <c r="C69" s="449" t="s">
        <v>1657</v>
      </c>
      <c r="D69" s="448" t="s">
        <v>1658</v>
      </c>
      <c r="E69" s="448" t="s">
        <v>1659</v>
      </c>
      <c r="F69" s="448" t="s">
        <v>1660</v>
      </c>
      <c r="G69" s="448" t="s">
        <v>1661</v>
      </c>
      <c r="H69" s="448" t="s">
        <v>1662</v>
      </c>
      <c r="I69" s="448" t="s">
        <v>1663</v>
      </c>
      <c r="J69" s="451" t="s">
        <v>1664</v>
      </c>
      <c r="K69" s="450" t="s">
        <v>1665</v>
      </c>
      <c r="L69" s="452" t="s">
        <v>1666</v>
      </c>
      <c r="M69" s="448" t="s">
        <v>1667</v>
      </c>
      <c r="N69" s="448" t="s">
        <v>1668</v>
      </c>
      <c r="O69" s="448" t="s">
        <v>1669</v>
      </c>
      <c r="P69" s="448" t="s">
        <v>1670</v>
      </c>
      <c r="Q69" s="448" t="s">
        <v>1671</v>
      </c>
      <c r="R69" s="453" t="s">
        <v>1672</v>
      </c>
      <c r="S69" s="448" t="s">
        <v>1673</v>
      </c>
      <c r="T69" s="448" t="s">
        <v>1674</v>
      </c>
      <c r="U69" s="448" t="s">
        <v>1675</v>
      </c>
      <c r="V69" s="448" t="s">
        <v>1676</v>
      </c>
    </row>
    <row r="70" spans="1:22" ht="14.25">
      <c r="A70" s="448">
        <v>70</v>
      </c>
      <c r="B70" s="448" t="str">
        <f t="shared" si="1"/>
        <v>Trad70</v>
      </c>
      <c r="C70" s="449" t="s">
        <v>1677</v>
      </c>
      <c r="D70" s="448" t="s">
        <v>1678</v>
      </c>
      <c r="E70" s="448" t="s">
        <v>1679</v>
      </c>
      <c r="F70" s="448" t="s">
        <v>1680</v>
      </c>
      <c r="G70" s="448" t="s">
        <v>1681</v>
      </c>
      <c r="H70" s="448" t="s">
        <v>1682</v>
      </c>
      <c r="I70" s="448" t="s">
        <v>1683</v>
      </c>
      <c r="J70" s="451" t="s">
        <v>1684</v>
      </c>
      <c r="K70" s="450" t="s">
        <v>1685</v>
      </c>
      <c r="L70" s="452" t="s">
        <v>1686</v>
      </c>
      <c r="M70" s="448" t="s">
        <v>1687</v>
      </c>
      <c r="N70" s="448" t="s">
        <v>1688</v>
      </c>
      <c r="O70" s="448" t="s">
        <v>1689</v>
      </c>
      <c r="P70" s="448" t="s">
        <v>1690</v>
      </c>
      <c r="Q70" s="448" t="s">
        <v>1691</v>
      </c>
      <c r="R70" s="453" t="s">
        <v>1677</v>
      </c>
      <c r="S70" s="448" t="s">
        <v>1692</v>
      </c>
      <c r="T70" s="448" t="s">
        <v>1693</v>
      </c>
      <c r="U70" s="448" t="s">
        <v>1694</v>
      </c>
      <c r="V70" s="448" t="s">
        <v>1695</v>
      </c>
    </row>
    <row r="71" spans="1:22" ht="14.25">
      <c r="A71" s="448">
        <v>71</v>
      </c>
      <c r="B71" s="448" t="str">
        <f t="shared" si="1"/>
        <v>Trad71</v>
      </c>
      <c r="C71" s="449" t="s">
        <v>1696</v>
      </c>
      <c r="D71" s="448" t="s">
        <v>1697</v>
      </c>
      <c r="E71" s="448" t="s">
        <v>1698</v>
      </c>
      <c r="F71" s="448" t="s">
        <v>1699</v>
      </c>
      <c r="G71" s="448" t="s">
        <v>1700</v>
      </c>
      <c r="H71" s="448" t="s">
        <v>1701</v>
      </c>
      <c r="I71" s="448" t="s">
        <v>1702</v>
      </c>
      <c r="J71" s="451" t="s">
        <v>1703</v>
      </c>
      <c r="K71" s="450" t="s">
        <v>1704</v>
      </c>
      <c r="L71" s="452" t="s">
        <v>1705</v>
      </c>
      <c r="M71" s="448" t="s">
        <v>1706</v>
      </c>
      <c r="N71" s="448" t="s">
        <v>1707</v>
      </c>
      <c r="O71" s="448" t="s">
        <v>1708</v>
      </c>
      <c r="P71" s="448" t="s">
        <v>1709</v>
      </c>
      <c r="Q71" s="448" t="s">
        <v>1710</v>
      </c>
      <c r="R71" s="453" t="s">
        <v>1696</v>
      </c>
      <c r="S71" s="448" t="s">
        <v>1711</v>
      </c>
      <c r="T71" s="448" t="s">
        <v>1712</v>
      </c>
      <c r="U71" s="448" t="s">
        <v>1713</v>
      </c>
      <c r="V71" s="448" t="s">
        <v>1714</v>
      </c>
    </row>
    <row r="72" spans="1:22" ht="14.25">
      <c r="A72" s="448">
        <v>72</v>
      </c>
      <c r="B72" s="448" t="str">
        <f t="shared" si="1"/>
        <v>Trad72</v>
      </c>
      <c r="C72" s="449" t="s">
        <v>1715</v>
      </c>
      <c r="D72" s="448" t="s">
        <v>1716</v>
      </c>
      <c r="E72" s="448" t="s">
        <v>1717</v>
      </c>
      <c r="F72" s="448" t="s">
        <v>1718</v>
      </c>
      <c r="G72" s="448" t="s">
        <v>1719</v>
      </c>
      <c r="H72" s="448" t="s">
        <v>1720</v>
      </c>
      <c r="I72" s="448" t="s">
        <v>1721</v>
      </c>
      <c r="J72" s="451" t="s">
        <v>1722</v>
      </c>
      <c r="K72" s="450" t="s">
        <v>1723</v>
      </c>
      <c r="L72" s="452" t="s">
        <v>1724</v>
      </c>
      <c r="M72" s="448" t="s">
        <v>1725</v>
      </c>
      <c r="N72" s="448" t="s">
        <v>1726</v>
      </c>
      <c r="O72" s="448" t="s">
        <v>1727</v>
      </c>
      <c r="P72" s="448" t="s">
        <v>1728</v>
      </c>
      <c r="Q72" s="448" t="s">
        <v>1729</v>
      </c>
      <c r="R72" s="453" t="s">
        <v>1715</v>
      </c>
      <c r="S72" s="448" t="s">
        <v>1730</v>
      </c>
      <c r="T72" s="448" t="s">
        <v>1731</v>
      </c>
      <c r="U72" s="448" t="s">
        <v>1732</v>
      </c>
      <c r="V72" s="448" t="s">
        <v>1733</v>
      </c>
    </row>
    <row r="73" spans="1:22" ht="14.25">
      <c r="A73" s="448">
        <v>73</v>
      </c>
      <c r="B73" s="448" t="str">
        <f t="shared" si="1"/>
        <v>Trad73</v>
      </c>
      <c r="C73" s="449" t="s">
        <v>1734</v>
      </c>
      <c r="D73" s="448" t="s">
        <v>1735</v>
      </c>
      <c r="E73" s="448" t="s">
        <v>1736</v>
      </c>
      <c r="F73" s="448" t="s">
        <v>1737</v>
      </c>
      <c r="G73" s="448" t="s">
        <v>1738</v>
      </c>
      <c r="H73" s="448" t="s">
        <v>1739</v>
      </c>
      <c r="I73" s="448" t="s">
        <v>1740</v>
      </c>
      <c r="J73" s="451" t="s">
        <v>1741</v>
      </c>
      <c r="K73" s="450" t="s">
        <v>1742</v>
      </c>
      <c r="L73" s="452" t="s">
        <v>1743</v>
      </c>
      <c r="M73" s="448" t="s">
        <v>1744</v>
      </c>
      <c r="N73" s="448" t="s">
        <v>1745</v>
      </c>
      <c r="O73" s="448" t="s">
        <v>1746</v>
      </c>
      <c r="P73" s="448" t="s">
        <v>1747</v>
      </c>
      <c r="Q73" s="448" t="s">
        <v>1748</v>
      </c>
      <c r="R73" s="453" t="s">
        <v>1734</v>
      </c>
      <c r="S73" s="448" t="s">
        <v>1749</v>
      </c>
      <c r="T73" s="448" t="s">
        <v>1750</v>
      </c>
      <c r="U73" s="448" t="s">
        <v>1751</v>
      </c>
      <c r="V73" s="448" t="s">
        <v>1752</v>
      </c>
    </row>
    <row r="74" spans="1:22" ht="14.25">
      <c r="A74" s="448">
        <v>74</v>
      </c>
      <c r="B74" s="448" t="str">
        <f t="shared" si="1"/>
        <v>Trad74</v>
      </c>
      <c r="C74" s="449" t="s">
        <v>1753</v>
      </c>
      <c r="D74" s="448" t="s">
        <v>1754</v>
      </c>
      <c r="E74" s="448" t="s">
        <v>1755</v>
      </c>
      <c r="F74" s="448" t="s">
        <v>1756</v>
      </c>
      <c r="G74" s="448" t="s">
        <v>1757</v>
      </c>
      <c r="H74" s="448" t="s">
        <v>1758</v>
      </c>
      <c r="I74" s="448" t="s">
        <v>1759</v>
      </c>
      <c r="J74" s="451" t="s">
        <v>1760</v>
      </c>
      <c r="K74" s="450" t="s">
        <v>1761</v>
      </c>
      <c r="L74" s="452" t="s">
        <v>1762</v>
      </c>
      <c r="M74" s="448" t="s">
        <v>1763</v>
      </c>
      <c r="N74" s="448" t="s">
        <v>1764</v>
      </c>
      <c r="O74" s="448" t="s">
        <v>1765</v>
      </c>
      <c r="P74" s="448" t="s">
        <v>1766</v>
      </c>
      <c r="Q74" s="448" t="s">
        <v>1767</v>
      </c>
      <c r="R74" s="453" t="s">
        <v>1753</v>
      </c>
      <c r="S74" s="448" t="s">
        <v>1768</v>
      </c>
      <c r="T74" s="448" t="s">
        <v>1769</v>
      </c>
      <c r="U74" s="448" t="s">
        <v>1770</v>
      </c>
      <c r="V74" s="448" t="s">
        <v>1771</v>
      </c>
    </row>
    <row r="75" spans="1:22" ht="14.25">
      <c r="A75" s="448">
        <v>75</v>
      </c>
      <c r="B75" s="448" t="str">
        <f t="shared" si="1"/>
        <v>Trad75</v>
      </c>
      <c r="C75" s="449" t="s">
        <v>1772</v>
      </c>
      <c r="D75" s="448" t="s">
        <v>1773</v>
      </c>
      <c r="E75" s="448" t="s">
        <v>1774</v>
      </c>
      <c r="F75" s="448" t="s">
        <v>1775</v>
      </c>
      <c r="G75" s="448" t="s">
        <v>1776</v>
      </c>
      <c r="H75" s="448" t="s">
        <v>1777</v>
      </c>
      <c r="I75" s="448" t="s">
        <v>1778</v>
      </c>
      <c r="J75" s="451" t="s">
        <v>1779</v>
      </c>
      <c r="K75" s="450" t="s">
        <v>1780</v>
      </c>
      <c r="L75" s="452" t="s">
        <v>1781</v>
      </c>
      <c r="M75" s="448" t="s">
        <v>1782</v>
      </c>
      <c r="N75" s="448" t="s">
        <v>1783</v>
      </c>
      <c r="O75" s="448" t="s">
        <v>1784</v>
      </c>
      <c r="P75" s="448" t="s">
        <v>1785</v>
      </c>
      <c r="Q75" s="448" t="s">
        <v>1786</v>
      </c>
      <c r="R75" s="453" t="s">
        <v>1787</v>
      </c>
      <c r="S75" s="448" t="s">
        <v>1788</v>
      </c>
      <c r="T75" s="448" t="s">
        <v>1789</v>
      </c>
      <c r="U75" s="448" t="s">
        <v>1790</v>
      </c>
      <c r="V75" s="448" t="s">
        <v>1791</v>
      </c>
    </row>
    <row r="76" spans="1:22" ht="14.25">
      <c r="A76" s="448">
        <v>76</v>
      </c>
      <c r="B76" s="448" t="str">
        <f t="shared" si="1"/>
        <v>Trad76</v>
      </c>
      <c r="C76" s="449" t="s">
        <v>1792</v>
      </c>
      <c r="D76" s="448" t="s">
        <v>1793</v>
      </c>
      <c r="E76" s="448" t="s">
        <v>1349</v>
      </c>
      <c r="F76" s="448" t="s">
        <v>1350</v>
      </c>
      <c r="G76" s="448" t="s">
        <v>1794</v>
      </c>
      <c r="H76" s="448" t="s">
        <v>1352</v>
      </c>
      <c r="I76" s="448" t="s">
        <v>1795</v>
      </c>
      <c r="J76" s="451" t="s">
        <v>1354</v>
      </c>
      <c r="K76" s="450" t="s">
        <v>1796</v>
      </c>
      <c r="L76" s="452" t="s">
        <v>1356</v>
      </c>
      <c r="M76" s="448" t="s">
        <v>1357</v>
      </c>
      <c r="N76" s="448" t="s">
        <v>1797</v>
      </c>
      <c r="O76" s="448" t="s">
        <v>1798</v>
      </c>
      <c r="P76" s="448" t="s">
        <v>1354</v>
      </c>
      <c r="Q76" s="448" t="s">
        <v>1361</v>
      </c>
      <c r="R76" s="453" t="s">
        <v>1799</v>
      </c>
      <c r="S76" s="448" t="s">
        <v>1363</v>
      </c>
      <c r="T76" s="448" t="s">
        <v>1800</v>
      </c>
      <c r="U76" s="448" t="s">
        <v>1365</v>
      </c>
      <c r="V76" s="448" t="s">
        <v>1366</v>
      </c>
    </row>
    <row r="77" spans="1:22" ht="14.25">
      <c r="A77" s="448">
        <v>77</v>
      </c>
      <c r="B77" s="448" t="str">
        <f t="shared" si="1"/>
        <v>Trad77</v>
      </c>
      <c r="C77" s="449" t="s">
        <v>1801</v>
      </c>
      <c r="D77" s="448" t="s">
        <v>1802</v>
      </c>
      <c r="E77" s="448" t="s">
        <v>1803</v>
      </c>
      <c r="F77" s="448" t="s">
        <v>1804</v>
      </c>
      <c r="G77" s="448" t="s">
        <v>1805</v>
      </c>
      <c r="H77" s="448" t="s">
        <v>1806</v>
      </c>
      <c r="I77" s="448" t="s">
        <v>1807</v>
      </c>
      <c r="J77" s="451" t="s">
        <v>1808</v>
      </c>
      <c r="K77" s="448" t="s">
        <v>1809</v>
      </c>
      <c r="L77" s="452" t="s">
        <v>1810</v>
      </c>
      <c r="M77" s="448" t="s">
        <v>1811</v>
      </c>
      <c r="N77" s="448" t="s">
        <v>1812</v>
      </c>
      <c r="O77" s="448" t="s">
        <v>1813</v>
      </c>
      <c r="P77" s="448" t="s">
        <v>1814</v>
      </c>
      <c r="Q77" s="448" t="s">
        <v>1815</v>
      </c>
      <c r="R77" s="453" t="s">
        <v>1816</v>
      </c>
      <c r="S77" s="448" t="s">
        <v>1817</v>
      </c>
      <c r="T77" s="448" t="s">
        <v>1818</v>
      </c>
      <c r="U77" s="448" t="s">
        <v>1819</v>
      </c>
      <c r="V77" s="448" t="s">
        <v>1820</v>
      </c>
    </row>
    <row r="78" spans="1:22" ht="14.25">
      <c r="A78" s="448">
        <v>78</v>
      </c>
      <c r="B78" s="448" t="str">
        <f t="shared" si="1"/>
        <v>Trad78</v>
      </c>
      <c r="C78" s="449" t="s">
        <v>1821</v>
      </c>
      <c r="D78" s="448" t="s">
        <v>1822</v>
      </c>
      <c r="E78" s="448" t="s">
        <v>1823</v>
      </c>
      <c r="F78" s="448" t="s">
        <v>1824</v>
      </c>
      <c r="G78" s="448" t="s">
        <v>1825</v>
      </c>
      <c r="H78" s="448" t="s">
        <v>1826</v>
      </c>
      <c r="I78" s="448" t="s">
        <v>1827</v>
      </c>
      <c r="J78" s="451" t="s">
        <v>1828</v>
      </c>
      <c r="K78" s="448" t="s">
        <v>1829</v>
      </c>
      <c r="L78" s="452" t="s">
        <v>1830</v>
      </c>
      <c r="M78" s="448" t="s">
        <v>1831</v>
      </c>
      <c r="N78" s="448" t="s">
        <v>1832</v>
      </c>
      <c r="O78" s="448" t="s">
        <v>1833</v>
      </c>
      <c r="P78" s="448" t="s">
        <v>1834</v>
      </c>
      <c r="Q78" s="448" t="s">
        <v>1835</v>
      </c>
      <c r="R78" s="453" t="s">
        <v>1836</v>
      </c>
      <c r="S78" s="448" t="s">
        <v>1837</v>
      </c>
      <c r="T78" s="448" t="s">
        <v>1838</v>
      </c>
      <c r="U78" s="448" t="s">
        <v>1839</v>
      </c>
      <c r="V78" s="448" t="s">
        <v>1840</v>
      </c>
    </row>
    <row r="79" spans="1:22" ht="14.25">
      <c r="A79" s="448">
        <v>79</v>
      </c>
      <c r="B79" s="448" t="str">
        <f t="shared" si="1"/>
        <v>Trad79</v>
      </c>
      <c r="C79" s="449" t="s">
        <v>1841</v>
      </c>
      <c r="D79" s="448" t="s">
        <v>1842</v>
      </c>
      <c r="E79" s="448" t="s">
        <v>1843</v>
      </c>
      <c r="F79" s="448" t="s">
        <v>1844</v>
      </c>
      <c r="G79" s="448" t="s">
        <v>1845</v>
      </c>
      <c r="H79" s="448" t="s">
        <v>1846</v>
      </c>
      <c r="I79" s="448" t="s">
        <v>1847</v>
      </c>
      <c r="J79" s="451" t="s">
        <v>1845</v>
      </c>
      <c r="K79" s="448" t="s">
        <v>1848</v>
      </c>
      <c r="L79" s="452" t="s">
        <v>1849</v>
      </c>
      <c r="M79" s="448" t="s">
        <v>1845</v>
      </c>
      <c r="N79" s="448" t="s">
        <v>1845</v>
      </c>
      <c r="O79" s="448" t="s">
        <v>1850</v>
      </c>
      <c r="P79" s="448" t="s">
        <v>1851</v>
      </c>
      <c r="Q79" s="448" t="s">
        <v>1852</v>
      </c>
      <c r="R79" s="453" t="s">
        <v>1845</v>
      </c>
      <c r="S79" s="448" t="s">
        <v>1845</v>
      </c>
      <c r="T79" s="448" t="s">
        <v>1853</v>
      </c>
      <c r="U79" s="448" t="s">
        <v>1854</v>
      </c>
      <c r="V79" s="448" t="s">
        <v>1855</v>
      </c>
    </row>
    <row r="80" spans="1:22" ht="14.25">
      <c r="A80" s="448">
        <v>80</v>
      </c>
      <c r="B80" s="448" t="str">
        <f t="shared" si="1"/>
        <v>Trad80</v>
      </c>
      <c r="C80" s="449" t="s">
        <v>1856</v>
      </c>
      <c r="D80" s="448" t="s">
        <v>1857</v>
      </c>
      <c r="E80" s="448" t="s">
        <v>1858</v>
      </c>
      <c r="F80" s="448" t="s">
        <v>1859</v>
      </c>
      <c r="G80" s="448" t="s">
        <v>1860</v>
      </c>
      <c r="H80" s="448" t="s">
        <v>1861</v>
      </c>
      <c r="I80" s="448" t="s">
        <v>1862</v>
      </c>
      <c r="J80" s="451" t="s">
        <v>1863</v>
      </c>
      <c r="K80" s="448" t="s">
        <v>1864</v>
      </c>
      <c r="L80" s="452" t="s">
        <v>1865</v>
      </c>
      <c r="M80" s="448" t="s">
        <v>1866</v>
      </c>
      <c r="N80" s="448" t="s">
        <v>1867</v>
      </c>
      <c r="O80" s="448" t="s">
        <v>1868</v>
      </c>
      <c r="P80" s="448" t="s">
        <v>1869</v>
      </c>
      <c r="Q80" s="448" t="s">
        <v>1870</v>
      </c>
      <c r="R80" s="453" t="s">
        <v>1871</v>
      </c>
      <c r="S80" s="448" t="s">
        <v>1872</v>
      </c>
      <c r="T80" s="448" t="s">
        <v>1873</v>
      </c>
      <c r="U80" s="448" t="s">
        <v>1874</v>
      </c>
      <c r="V80" s="448" t="s">
        <v>1875</v>
      </c>
    </row>
    <row r="81" spans="1:22" ht="14.25">
      <c r="A81" s="448">
        <v>81</v>
      </c>
      <c r="B81" s="448" t="str">
        <f t="shared" si="1"/>
        <v>Trad81</v>
      </c>
      <c r="C81" s="449" t="s">
        <v>1876</v>
      </c>
      <c r="D81" s="448" t="s">
        <v>1877</v>
      </c>
      <c r="E81" s="448" t="s">
        <v>1878</v>
      </c>
      <c r="F81" s="448" t="s">
        <v>1879</v>
      </c>
      <c r="G81" s="448" t="s">
        <v>1880</v>
      </c>
      <c r="H81" s="448" t="s">
        <v>1881</v>
      </c>
      <c r="I81" s="448" t="s">
        <v>1882</v>
      </c>
      <c r="J81" s="451" t="s">
        <v>1883</v>
      </c>
      <c r="K81" s="448" t="s">
        <v>1884</v>
      </c>
      <c r="L81" s="452" t="s">
        <v>1885</v>
      </c>
      <c r="M81" s="448" t="s">
        <v>1886</v>
      </c>
      <c r="N81" s="448" t="s">
        <v>1887</v>
      </c>
      <c r="O81" s="448" t="s">
        <v>1888</v>
      </c>
      <c r="P81" s="448" t="s">
        <v>1889</v>
      </c>
      <c r="Q81" s="448" t="s">
        <v>1890</v>
      </c>
      <c r="R81" s="453" t="s">
        <v>1891</v>
      </c>
      <c r="S81" s="448" t="s">
        <v>1892</v>
      </c>
      <c r="T81" s="448" t="s">
        <v>1893</v>
      </c>
      <c r="U81" s="448" t="s">
        <v>1894</v>
      </c>
      <c r="V81" s="448" t="s">
        <v>1895</v>
      </c>
    </row>
    <row r="82" spans="1:22" ht="14.25">
      <c r="A82" s="448">
        <v>82</v>
      </c>
      <c r="B82" s="448" t="str">
        <f t="shared" si="1"/>
        <v>Trad82</v>
      </c>
      <c r="C82" s="449" t="s">
        <v>1896</v>
      </c>
      <c r="D82" s="448" t="s">
        <v>1897</v>
      </c>
      <c r="E82" s="448" t="s">
        <v>1898</v>
      </c>
      <c r="F82" s="448" t="s">
        <v>1899</v>
      </c>
      <c r="G82" s="448" t="s">
        <v>1900</v>
      </c>
      <c r="H82" s="448" t="s">
        <v>1901</v>
      </c>
      <c r="I82" s="448" t="s">
        <v>1902</v>
      </c>
      <c r="J82" s="451" t="s">
        <v>1903</v>
      </c>
      <c r="K82" s="448" t="s">
        <v>1904</v>
      </c>
      <c r="L82" s="452" t="s">
        <v>1905</v>
      </c>
      <c r="M82" s="448" t="s">
        <v>1906</v>
      </c>
      <c r="N82" s="448" t="s">
        <v>1907</v>
      </c>
      <c r="O82" s="448" t="s">
        <v>1908</v>
      </c>
      <c r="P82" s="448" t="s">
        <v>1909</v>
      </c>
      <c r="Q82" s="448" t="s">
        <v>1910</v>
      </c>
      <c r="R82" s="453" t="s">
        <v>1906</v>
      </c>
      <c r="S82" s="448" t="s">
        <v>1911</v>
      </c>
      <c r="T82" s="448" t="s">
        <v>1912</v>
      </c>
      <c r="U82" s="448" t="s">
        <v>1913</v>
      </c>
      <c r="V82" s="448" t="s">
        <v>1914</v>
      </c>
    </row>
    <row r="83" spans="1:22" ht="14.25">
      <c r="A83" s="448">
        <v>83</v>
      </c>
      <c r="B83" s="448" t="str">
        <f t="shared" si="1"/>
        <v>Trad83</v>
      </c>
      <c r="C83" s="449" t="s">
        <v>1915</v>
      </c>
      <c r="D83" s="448" t="s">
        <v>1916</v>
      </c>
      <c r="E83" s="448" t="s">
        <v>1917</v>
      </c>
      <c r="F83" s="448" t="s">
        <v>1918</v>
      </c>
      <c r="G83" s="448" t="s">
        <v>1919</v>
      </c>
      <c r="H83" s="448" t="s">
        <v>1920</v>
      </c>
      <c r="I83" s="448" t="s">
        <v>1921</v>
      </c>
      <c r="J83" s="451" t="s">
        <v>1922</v>
      </c>
      <c r="K83" s="448" t="s">
        <v>1923</v>
      </c>
      <c r="L83" s="452" t="s">
        <v>1924</v>
      </c>
      <c r="M83" s="448" t="s">
        <v>1925</v>
      </c>
      <c r="N83" s="448" t="s">
        <v>1926</v>
      </c>
      <c r="O83" s="448" t="s">
        <v>1927</v>
      </c>
      <c r="P83" s="448" t="s">
        <v>1916</v>
      </c>
      <c r="Q83" s="448" t="s">
        <v>1928</v>
      </c>
      <c r="R83" s="453" t="s">
        <v>1925</v>
      </c>
      <c r="S83" s="448" t="s">
        <v>1929</v>
      </c>
      <c r="T83" s="448" t="s">
        <v>1930</v>
      </c>
      <c r="U83" s="448" t="s">
        <v>1931</v>
      </c>
      <c r="V83" s="448" t="s">
        <v>1932</v>
      </c>
    </row>
    <row r="84" spans="1:22" ht="14.25">
      <c r="A84" s="448">
        <v>84</v>
      </c>
      <c r="B84" s="448" t="str">
        <f t="shared" si="1"/>
        <v>Trad84</v>
      </c>
      <c r="C84" s="449" t="s">
        <v>1933</v>
      </c>
      <c r="D84" s="448" t="s">
        <v>1934</v>
      </c>
      <c r="E84" s="448" t="s">
        <v>1935</v>
      </c>
      <c r="F84" s="448" t="s">
        <v>1936</v>
      </c>
      <c r="G84" s="448" t="s">
        <v>1937</v>
      </c>
      <c r="H84" s="448" t="s">
        <v>1938</v>
      </c>
      <c r="I84" s="448" t="s">
        <v>1939</v>
      </c>
      <c r="J84" s="451" t="s">
        <v>1940</v>
      </c>
      <c r="K84" s="448" t="s">
        <v>1941</v>
      </c>
      <c r="L84" s="452" t="s">
        <v>1942</v>
      </c>
      <c r="M84" s="448" t="s">
        <v>1943</v>
      </c>
      <c r="N84" s="448" t="s">
        <v>1944</v>
      </c>
      <c r="O84" s="448" t="s">
        <v>1945</v>
      </c>
      <c r="P84" s="448" t="s">
        <v>1946</v>
      </c>
      <c r="Q84" s="448" t="s">
        <v>1947</v>
      </c>
      <c r="R84" s="453" t="s">
        <v>1948</v>
      </c>
      <c r="S84" s="448" t="s">
        <v>1949</v>
      </c>
      <c r="T84" s="448" t="s">
        <v>1950</v>
      </c>
      <c r="U84" s="448" t="s">
        <v>1951</v>
      </c>
      <c r="V84" s="448" t="s">
        <v>1952</v>
      </c>
    </row>
    <row r="85" spans="1:22" ht="14.25">
      <c r="A85" s="448">
        <v>85</v>
      </c>
      <c r="B85" s="448" t="str">
        <f t="shared" si="1"/>
        <v>Trad85</v>
      </c>
      <c r="C85" s="449" t="s">
        <v>1953</v>
      </c>
      <c r="D85" s="448" t="s">
        <v>1954</v>
      </c>
      <c r="E85" s="448" t="s">
        <v>1955</v>
      </c>
      <c r="F85" s="448" t="s">
        <v>1956</v>
      </c>
      <c r="G85" s="448" t="s">
        <v>1957</v>
      </c>
      <c r="H85" s="448" t="s">
        <v>1958</v>
      </c>
      <c r="I85" s="448" t="s">
        <v>1959</v>
      </c>
      <c r="J85" s="451" t="s">
        <v>1960</v>
      </c>
      <c r="K85" s="448" t="s">
        <v>1961</v>
      </c>
      <c r="L85" s="452" t="s">
        <v>1962</v>
      </c>
      <c r="M85" s="448" t="s">
        <v>1960</v>
      </c>
      <c r="N85" s="448" t="s">
        <v>1960</v>
      </c>
      <c r="O85" s="448" t="s">
        <v>1963</v>
      </c>
      <c r="P85" s="448" t="s">
        <v>1962</v>
      </c>
      <c r="Q85" s="448" t="s">
        <v>1964</v>
      </c>
      <c r="R85" s="453" t="s">
        <v>1965</v>
      </c>
      <c r="S85" s="448" t="s">
        <v>1966</v>
      </c>
      <c r="T85" s="448" t="s">
        <v>1967</v>
      </c>
      <c r="U85" s="448" t="s">
        <v>1968</v>
      </c>
      <c r="V85" s="448" t="s">
        <v>1962</v>
      </c>
    </row>
    <row r="86" spans="1:22" ht="14.25">
      <c r="A86" s="448">
        <v>86</v>
      </c>
      <c r="B86" s="448" t="str">
        <f t="shared" si="1"/>
        <v>Trad86</v>
      </c>
      <c r="C86" s="449" t="s">
        <v>1969</v>
      </c>
      <c r="D86" s="448" t="s">
        <v>1970</v>
      </c>
      <c r="E86" s="448" t="s">
        <v>1971</v>
      </c>
      <c r="F86" s="448" t="s">
        <v>1970</v>
      </c>
      <c r="G86" s="448" t="s">
        <v>1972</v>
      </c>
      <c r="H86" s="448" t="s">
        <v>1973</v>
      </c>
      <c r="I86" s="448" t="s">
        <v>1974</v>
      </c>
      <c r="J86" s="451" t="s">
        <v>1975</v>
      </c>
      <c r="K86" s="448" t="s">
        <v>1976</v>
      </c>
      <c r="L86" s="452" t="s">
        <v>1970</v>
      </c>
      <c r="M86" s="448" t="s">
        <v>1977</v>
      </c>
      <c r="N86" s="448" t="s">
        <v>1970</v>
      </c>
      <c r="O86" s="448" t="s">
        <v>1978</v>
      </c>
      <c r="P86" s="448" t="s">
        <v>1979</v>
      </c>
      <c r="Q86" s="448" t="s">
        <v>1970</v>
      </c>
      <c r="R86" s="453" t="s">
        <v>1980</v>
      </c>
      <c r="S86" s="448" t="s">
        <v>1970</v>
      </c>
      <c r="T86" s="448" t="s">
        <v>1970</v>
      </c>
      <c r="U86" s="448" t="s">
        <v>1970</v>
      </c>
      <c r="V86" s="448" t="s">
        <v>1970</v>
      </c>
    </row>
    <row r="87" spans="1:22" ht="14.25">
      <c r="A87" s="448">
        <v>87</v>
      </c>
      <c r="B87" s="448" t="str">
        <f t="shared" si="1"/>
        <v>Trad87</v>
      </c>
      <c r="C87" s="449" t="s">
        <v>1981</v>
      </c>
      <c r="D87" s="448" t="s">
        <v>1982</v>
      </c>
      <c r="E87" s="448" t="s">
        <v>1983</v>
      </c>
      <c r="F87" s="448" t="s">
        <v>1984</v>
      </c>
      <c r="G87" s="448" t="s">
        <v>1985</v>
      </c>
      <c r="H87" s="448" t="s">
        <v>1986</v>
      </c>
      <c r="I87" s="448" t="s">
        <v>1987</v>
      </c>
      <c r="J87" s="451" t="s">
        <v>1988</v>
      </c>
      <c r="K87" s="448" t="s">
        <v>1989</v>
      </c>
      <c r="L87" s="452" t="s">
        <v>1990</v>
      </c>
      <c r="M87" s="448" t="s">
        <v>1991</v>
      </c>
      <c r="N87" s="448" t="s">
        <v>1985</v>
      </c>
      <c r="O87" s="448" t="s">
        <v>1992</v>
      </c>
      <c r="P87" s="448" t="s">
        <v>1993</v>
      </c>
      <c r="Q87" s="448" t="s">
        <v>1994</v>
      </c>
      <c r="R87" s="453" t="s">
        <v>1995</v>
      </c>
      <c r="S87" s="448" t="s">
        <v>1996</v>
      </c>
      <c r="T87" s="448" t="s">
        <v>1988</v>
      </c>
      <c r="U87" s="448" t="s">
        <v>1997</v>
      </c>
      <c r="V87" s="448" t="s">
        <v>1998</v>
      </c>
    </row>
    <row r="88" spans="1:22" ht="14.25">
      <c r="A88" s="448">
        <v>88</v>
      </c>
      <c r="B88" s="448" t="str">
        <f t="shared" si="1"/>
        <v>Trad88</v>
      </c>
      <c r="C88" s="449" t="s">
        <v>1999</v>
      </c>
      <c r="D88" s="448" t="s">
        <v>2000</v>
      </c>
      <c r="E88" s="448" t="s">
        <v>2001</v>
      </c>
      <c r="F88" s="448" t="s">
        <v>2002</v>
      </c>
      <c r="G88" s="448" t="s">
        <v>2003</v>
      </c>
      <c r="H88" s="448" t="s">
        <v>2004</v>
      </c>
      <c r="I88" s="448" t="s">
        <v>2005</v>
      </c>
      <c r="J88" s="451" t="s">
        <v>2006</v>
      </c>
      <c r="K88" s="448" t="s">
        <v>2007</v>
      </c>
      <c r="L88" s="452" t="s">
        <v>2008</v>
      </c>
      <c r="M88" s="448" t="s">
        <v>2009</v>
      </c>
      <c r="N88" s="448" t="s">
        <v>2010</v>
      </c>
      <c r="O88" s="448" t="s">
        <v>2011</v>
      </c>
      <c r="P88" s="448" t="s">
        <v>2012</v>
      </c>
      <c r="Q88" s="448" t="s">
        <v>2013</v>
      </c>
      <c r="R88" s="453" t="s">
        <v>2009</v>
      </c>
      <c r="S88" s="448" t="s">
        <v>2014</v>
      </c>
      <c r="T88" s="448" t="s">
        <v>2015</v>
      </c>
      <c r="U88" s="448" t="s">
        <v>2016</v>
      </c>
      <c r="V88" s="448" t="s">
        <v>2017</v>
      </c>
    </row>
    <row r="89" spans="1:22" ht="14.25">
      <c r="A89" s="448">
        <v>89</v>
      </c>
      <c r="B89" s="448" t="str">
        <f t="shared" si="1"/>
        <v>Trad89</v>
      </c>
      <c r="C89" s="449" t="s">
        <v>2018</v>
      </c>
      <c r="D89" s="448" t="s">
        <v>2019</v>
      </c>
      <c r="E89" s="448" t="s">
        <v>2020</v>
      </c>
      <c r="F89" s="448" t="s">
        <v>2021</v>
      </c>
      <c r="G89" s="448" t="s">
        <v>2022</v>
      </c>
      <c r="H89" s="448" t="s">
        <v>2023</v>
      </c>
      <c r="I89" s="448" t="s">
        <v>2024</v>
      </c>
      <c r="J89" s="451" t="s">
        <v>2025</v>
      </c>
      <c r="K89" s="448" t="s">
        <v>2026</v>
      </c>
      <c r="L89" s="452" t="s">
        <v>2027</v>
      </c>
      <c r="M89" s="448" t="s">
        <v>2028</v>
      </c>
      <c r="N89" s="448" t="s">
        <v>2029</v>
      </c>
      <c r="O89" s="448" t="s">
        <v>2030</v>
      </c>
      <c r="P89" s="448" t="s">
        <v>2031</v>
      </c>
      <c r="Q89" s="448" t="s">
        <v>2032</v>
      </c>
      <c r="R89" s="453" t="s">
        <v>2033</v>
      </c>
      <c r="S89" s="448" t="s">
        <v>2034</v>
      </c>
      <c r="T89" s="448" t="s">
        <v>2035</v>
      </c>
      <c r="U89" s="448" t="s">
        <v>2036</v>
      </c>
      <c r="V89" s="448" t="s">
        <v>2037</v>
      </c>
    </row>
    <row r="90" spans="1:22" ht="14.25">
      <c r="A90" s="448">
        <v>90</v>
      </c>
      <c r="B90" s="448" t="str">
        <f t="shared" si="1"/>
        <v>Trad90</v>
      </c>
      <c r="C90" s="449" t="s">
        <v>2038</v>
      </c>
      <c r="D90" s="448" t="s">
        <v>2039</v>
      </c>
      <c r="E90" s="448" t="s">
        <v>2040</v>
      </c>
      <c r="F90" s="448" t="s">
        <v>2041</v>
      </c>
      <c r="G90" s="448" t="s">
        <v>2042</v>
      </c>
      <c r="H90" s="448" t="s">
        <v>2043</v>
      </c>
      <c r="I90" s="448" t="s">
        <v>2044</v>
      </c>
      <c r="J90" s="451" t="s">
        <v>2045</v>
      </c>
      <c r="K90" s="448" t="s">
        <v>2046</v>
      </c>
      <c r="L90" s="452" t="s">
        <v>2047</v>
      </c>
      <c r="M90" s="448" t="s">
        <v>2048</v>
      </c>
      <c r="N90" s="448" t="s">
        <v>2049</v>
      </c>
      <c r="O90" s="448" t="s">
        <v>2050</v>
      </c>
      <c r="P90" s="448" t="s">
        <v>2039</v>
      </c>
      <c r="Q90" s="448" t="s">
        <v>2051</v>
      </c>
      <c r="R90" s="453" t="s">
        <v>2048</v>
      </c>
      <c r="S90" s="448" t="s">
        <v>2052</v>
      </c>
      <c r="T90" s="448" t="s">
        <v>2053</v>
      </c>
      <c r="U90" s="448" t="s">
        <v>2054</v>
      </c>
      <c r="V90" s="448" t="s">
        <v>2055</v>
      </c>
    </row>
    <row r="91" spans="1:22" ht="14.25">
      <c r="A91" s="448">
        <v>91</v>
      </c>
      <c r="B91" s="448" t="str">
        <f t="shared" si="1"/>
        <v>Trad91</v>
      </c>
      <c r="C91" s="449" t="s">
        <v>2056</v>
      </c>
      <c r="D91" s="448" t="s">
        <v>2057</v>
      </c>
      <c r="E91" s="448" t="s">
        <v>2058</v>
      </c>
      <c r="F91" s="448" t="s">
        <v>2059</v>
      </c>
      <c r="G91" s="448" t="s">
        <v>2060</v>
      </c>
      <c r="H91" s="448" t="s">
        <v>2061</v>
      </c>
      <c r="I91" s="448" t="s">
        <v>2062</v>
      </c>
      <c r="J91" s="451" t="s">
        <v>2063</v>
      </c>
      <c r="K91" s="448" t="s">
        <v>2064</v>
      </c>
      <c r="L91" s="452" t="s">
        <v>2065</v>
      </c>
      <c r="M91" s="448" t="s">
        <v>2066</v>
      </c>
      <c r="N91" s="448" t="s">
        <v>2067</v>
      </c>
      <c r="O91" s="448" t="s">
        <v>2068</v>
      </c>
      <c r="P91" s="448" t="s">
        <v>2057</v>
      </c>
      <c r="Q91" s="448" t="s">
        <v>2069</v>
      </c>
      <c r="R91" s="453" t="s">
        <v>2066</v>
      </c>
      <c r="S91" s="448" t="s">
        <v>2070</v>
      </c>
      <c r="T91" s="448" t="s">
        <v>2071</v>
      </c>
      <c r="U91" s="448" t="s">
        <v>2072</v>
      </c>
      <c r="V91" s="448" t="s">
        <v>2073</v>
      </c>
    </row>
    <row r="92" spans="1:22" ht="14.25">
      <c r="A92" s="448">
        <v>92</v>
      </c>
      <c r="B92" s="448" t="str">
        <f t="shared" si="1"/>
        <v>Trad92</v>
      </c>
      <c r="C92" s="449" t="s">
        <v>2074</v>
      </c>
      <c r="D92" s="448" t="s">
        <v>2075</v>
      </c>
      <c r="E92" s="448" t="s">
        <v>2076</v>
      </c>
      <c r="F92" s="448" t="s">
        <v>2077</v>
      </c>
      <c r="G92" s="448" t="s">
        <v>2078</v>
      </c>
      <c r="H92" s="448" t="s">
        <v>2079</v>
      </c>
      <c r="I92" s="448" t="s">
        <v>2080</v>
      </c>
      <c r="J92" s="451" t="s">
        <v>2081</v>
      </c>
      <c r="K92" s="448" t="s">
        <v>2082</v>
      </c>
      <c r="L92" s="452" t="s">
        <v>2083</v>
      </c>
      <c r="M92" s="448" t="s">
        <v>2084</v>
      </c>
      <c r="N92" s="448" t="s">
        <v>2085</v>
      </c>
      <c r="O92" s="448" t="s">
        <v>2086</v>
      </c>
      <c r="P92" s="448" t="s">
        <v>2087</v>
      </c>
      <c r="Q92" s="448" t="s">
        <v>2088</v>
      </c>
      <c r="R92" s="453" t="s">
        <v>2089</v>
      </c>
      <c r="S92" s="448" t="s">
        <v>2090</v>
      </c>
      <c r="T92" s="448" t="s">
        <v>2091</v>
      </c>
      <c r="U92" s="448" t="s">
        <v>2092</v>
      </c>
      <c r="V92" s="448" t="s">
        <v>2093</v>
      </c>
    </row>
    <row r="93" spans="1:22" ht="14.25">
      <c r="A93" s="448">
        <v>93</v>
      </c>
      <c r="B93" s="448" t="str">
        <f t="shared" si="1"/>
        <v>Trad93</v>
      </c>
      <c r="C93" s="449" t="s">
        <v>2094</v>
      </c>
      <c r="D93" s="448" t="s">
        <v>2095</v>
      </c>
      <c r="E93" s="448" t="s">
        <v>2096</v>
      </c>
      <c r="F93" s="448" t="s">
        <v>2097</v>
      </c>
      <c r="G93" s="448" t="s">
        <v>2098</v>
      </c>
      <c r="H93" s="448" t="s">
        <v>2099</v>
      </c>
      <c r="I93" s="448" t="s">
        <v>2100</v>
      </c>
      <c r="J93" s="451" t="s">
        <v>2101</v>
      </c>
      <c r="K93" s="448" t="s">
        <v>2102</v>
      </c>
      <c r="L93" s="452" t="s">
        <v>2097</v>
      </c>
      <c r="M93" s="448" t="s">
        <v>2103</v>
      </c>
      <c r="N93" s="448" t="s">
        <v>2104</v>
      </c>
      <c r="O93" s="448" t="s">
        <v>2105</v>
      </c>
      <c r="P93" s="448" t="s">
        <v>2097</v>
      </c>
      <c r="Q93" s="448" t="s">
        <v>2097</v>
      </c>
      <c r="R93" s="453" t="s">
        <v>2106</v>
      </c>
      <c r="S93" s="448" t="s">
        <v>2107</v>
      </c>
      <c r="T93" s="448" t="s">
        <v>2108</v>
      </c>
      <c r="U93" s="448" t="s">
        <v>2109</v>
      </c>
      <c r="V93" s="448" t="s">
        <v>2110</v>
      </c>
    </row>
    <row r="94" spans="1:22" ht="14.25">
      <c r="A94" s="448">
        <v>94</v>
      </c>
      <c r="B94" s="448" t="str">
        <f t="shared" si="1"/>
        <v>Trad94</v>
      </c>
      <c r="C94" s="449" t="s">
        <v>2111</v>
      </c>
      <c r="D94" s="448" t="s">
        <v>2112</v>
      </c>
      <c r="E94" s="448" t="s">
        <v>2113</v>
      </c>
      <c r="F94" s="448" t="s">
        <v>2114</v>
      </c>
      <c r="G94" s="448" t="s">
        <v>2115</v>
      </c>
      <c r="H94" s="448" t="s">
        <v>2116</v>
      </c>
      <c r="I94" s="448" t="s">
        <v>2117</v>
      </c>
      <c r="J94" s="451" t="s">
        <v>2118</v>
      </c>
      <c r="K94" s="448" t="s">
        <v>2119</v>
      </c>
      <c r="L94" s="452" t="s">
        <v>2120</v>
      </c>
      <c r="M94" s="448" t="s">
        <v>2121</v>
      </c>
      <c r="N94" s="448" t="s">
        <v>2122</v>
      </c>
      <c r="O94" s="448" t="s">
        <v>2123</v>
      </c>
      <c r="P94" s="448" t="s">
        <v>2124</v>
      </c>
      <c r="Q94" s="448" t="s">
        <v>2124</v>
      </c>
      <c r="R94" s="453" t="s">
        <v>2125</v>
      </c>
      <c r="S94" s="448" t="s">
        <v>2126</v>
      </c>
      <c r="T94" s="448" t="s">
        <v>2127</v>
      </c>
      <c r="U94" s="448" t="s">
        <v>2128</v>
      </c>
      <c r="V94" s="448" t="s">
        <v>2129</v>
      </c>
    </row>
    <row r="95" spans="1:22" ht="14.25">
      <c r="A95" s="448">
        <v>95</v>
      </c>
      <c r="B95" s="448" t="str">
        <f t="shared" si="1"/>
        <v>Trad95</v>
      </c>
      <c r="C95" s="449" t="s">
        <v>2130</v>
      </c>
      <c r="D95" s="448" t="s">
        <v>2131</v>
      </c>
      <c r="E95" s="448" t="s">
        <v>2132</v>
      </c>
      <c r="F95" s="448" t="s">
        <v>2133</v>
      </c>
      <c r="G95" s="448" t="s">
        <v>2134</v>
      </c>
      <c r="H95" s="448" t="s">
        <v>2135</v>
      </c>
      <c r="I95" s="448" t="s">
        <v>2136</v>
      </c>
      <c r="J95" s="451" t="s">
        <v>2137</v>
      </c>
      <c r="K95" s="448" t="s">
        <v>2138</v>
      </c>
      <c r="L95" s="452" t="s">
        <v>2139</v>
      </c>
      <c r="M95" s="448" t="s">
        <v>2140</v>
      </c>
      <c r="N95" s="448" t="s">
        <v>2141</v>
      </c>
      <c r="O95" s="448" t="s">
        <v>2142</v>
      </c>
      <c r="P95" s="448" t="s">
        <v>2131</v>
      </c>
      <c r="Q95" s="448" t="s">
        <v>2143</v>
      </c>
      <c r="R95" s="453" t="s">
        <v>2144</v>
      </c>
      <c r="S95" s="448" t="s">
        <v>2145</v>
      </c>
      <c r="T95" s="448" t="s">
        <v>2146</v>
      </c>
      <c r="U95" s="448" t="s">
        <v>2147</v>
      </c>
      <c r="V95" s="448" t="s">
        <v>2148</v>
      </c>
    </row>
    <row r="96" spans="1:22" ht="14.25">
      <c r="A96" s="448">
        <v>96</v>
      </c>
      <c r="B96" s="448" t="str">
        <f t="shared" si="1"/>
        <v>Trad96</v>
      </c>
      <c r="C96" s="449" t="s">
        <v>2149</v>
      </c>
      <c r="D96" s="448" t="s">
        <v>2150</v>
      </c>
      <c r="E96" s="448" t="s">
        <v>2151</v>
      </c>
      <c r="F96" s="448" t="s">
        <v>2152</v>
      </c>
      <c r="G96" s="448" t="s">
        <v>2153</v>
      </c>
      <c r="H96" s="448" t="s">
        <v>2154</v>
      </c>
      <c r="I96" s="448" t="s">
        <v>2155</v>
      </c>
      <c r="J96" s="451" t="s">
        <v>2156</v>
      </c>
      <c r="K96" s="448" t="s">
        <v>2157</v>
      </c>
      <c r="L96" s="452" t="s">
        <v>2158</v>
      </c>
      <c r="M96" s="448" t="s">
        <v>2159</v>
      </c>
      <c r="N96" s="448" t="s">
        <v>2160</v>
      </c>
      <c r="O96" s="448" t="s">
        <v>2161</v>
      </c>
      <c r="P96" s="448" t="s">
        <v>2162</v>
      </c>
      <c r="Q96" s="448" t="s">
        <v>2163</v>
      </c>
      <c r="R96" s="453" t="s">
        <v>2159</v>
      </c>
      <c r="S96" s="448" t="s">
        <v>2164</v>
      </c>
      <c r="T96" s="448" t="s">
        <v>2164</v>
      </c>
      <c r="U96" s="448" t="s">
        <v>2165</v>
      </c>
      <c r="V96" s="448" t="s">
        <v>2166</v>
      </c>
    </row>
    <row r="97" spans="1:22" ht="14.25">
      <c r="A97" s="448">
        <v>97</v>
      </c>
      <c r="B97" s="448" t="str">
        <f t="shared" si="1"/>
        <v>Trad97</v>
      </c>
      <c r="C97" s="449" t="s">
        <v>2167</v>
      </c>
      <c r="D97" s="448" t="s">
        <v>2158</v>
      </c>
      <c r="E97" s="448" t="s">
        <v>2168</v>
      </c>
      <c r="F97" s="448" t="s">
        <v>2169</v>
      </c>
      <c r="G97" s="448" t="s">
        <v>2170</v>
      </c>
      <c r="H97" s="448" t="s">
        <v>2171</v>
      </c>
      <c r="I97" s="448" t="s">
        <v>2172</v>
      </c>
      <c r="J97" s="451" t="s">
        <v>2170</v>
      </c>
      <c r="K97" s="448" t="s">
        <v>2170</v>
      </c>
      <c r="L97" s="452" t="s">
        <v>2173</v>
      </c>
      <c r="M97" s="448" t="s">
        <v>2174</v>
      </c>
      <c r="N97" s="448" t="s">
        <v>2175</v>
      </c>
      <c r="O97" s="448" t="s">
        <v>2176</v>
      </c>
      <c r="P97" s="448" t="s">
        <v>2167</v>
      </c>
      <c r="Q97" s="448" t="s">
        <v>2169</v>
      </c>
      <c r="R97" s="453" t="s">
        <v>2167</v>
      </c>
      <c r="S97" s="448" t="s">
        <v>2177</v>
      </c>
      <c r="T97" s="448" t="s">
        <v>2178</v>
      </c>
      <c r="U97" s="448" t="s">
        <v>2179</v>
      </c>
      <c r="V97" s="448" t="s">
        <v>2180</v>
      </c>
    </row>
    <row r="98" spans="1:22" ht="14.25">
      <c r="A98" s="448">
        <v>98</v>
      </c>
      <c r="B98" s="448" t="str">
        <f t="shared" si="1"/>
        <v>Trad98</v>
      </c>
      <c r="C98" s="449" t="s">
        <v>2181</v>
      </c>
      <c r="D98" s="448" t="s">
        <v>2182</v>
      </c>
      <c r="E98" s="448" t="s">
        <v>2183</v>
      </c>
      <c r="F98" s="448" t="s">
        <v>2184</v>
      </c>
      <c r="G98" s="448" t="s">
        <v>2185</v>
      </c>
      <c r="H98" s="448" t="s">
        <v>2186</v>
      </c>
      <c r="I98" s="448" t="s">
        <v>2187</v>
      </c>
      <c r="J98" s="451" t="s">
        <v>2188</v>
      </c>
      <c r="K98" s="448" t="s">
        <v>2189</v>
      </c>
      <c r="L98" s="452" t="s">
        <v>2190</v>
      </c>
      <c r="M98" s="448" t="s">
        <v>2191</v>
      </c>
      <c r="N98" s="448" t="s">
        <v>2192</v>
      </c>
      <c r="O98" s="448" t="s">
        <v>2193</v>
      </c>
      <c r="P98" s="448" t="s">
        <v>2194</v>
      </c>
      <c r="Q98" s="448" t="s">
        <v>2195</v>
      </c>
      <c r="R98" s="453" t="s">
        <v>2196</v>
      </c>
      <c r="S98" s="448" t="s">
        <v>2197</v>
      </c>
      <c r="T98" s="448" t="s">
        <v>2198</v>
      </c>
      <c r="U98" s="448" t="s">
        <v>2199</v>
      </c>
      <c r="V98" s="448" t="s">
        <v>2200</v>
      </c>
    </row>
    <row r="99" spans="1:22" ht="14.25">
      <c r="A99" s="448">
        <v>99</v>
      </c>
      <c r="B99" s="448" t="str">
        <f t="shared" si="1"/>
        <v>Trad99</v>
      </c>
      <c r="C99" s="449" t="s">
        <v>2201</v>
      </c>
      <c r="D99" s="448" t="s">
        <v>2202</v>
      </c>
      <c r="E99" s="448" t="s">
        <v>2203</v>
      </c>
      <c r="F99" s="448" t="s">
        <v>2204</v>
      </c>
      <c r="G99" s="448" t="s">
        <v>2205</v>
      </c>
      <c r="H99" s="448" t="s">
        <v>2206</v>
      </c>
      <c r="I99" s="448" t="s">
        <v>2207</v>
      </c>
      <c r="J99" s="451" t="s">
        <v>2208</v>
      </c>
      <c r="K99" s="448" t="s">
        <v>2209</v>
      </c>
      <c r="L99" s="452" t="s">
        <v>2210</v>
      </c>
      <c r="M99" s="448" t="s">
        <v>2211</v>
      </c>
      <c r="N99" s="448" t="s">
        <v>2212</v>
      </c>
      <c r="O99" s="448" t="s">
        <v>2213</v>
      </c>
      <c r="P99" s="448" t="s">
        <v>2214</v>
      </c>
      <c r="Q99" s="448" t="s">
        <v>2215</v>
      </c>
      <c r="R99" s="453" t="s">
        <v>2216</v>
      </c>
      <c r="S99" s="448" t="s">
        <v>2217</v>
      </c>
      <c r="T99" s="448" t="s">
        <v>2218</v>
      </c>
      <c r="U99" s="448" t="s">
        <v>2219</v>
      </c>
      <c r="V99" s="448" t="s">
        <v>2220</v>
      </c>
    </row>
    <row r="100" spans="1:22" ht="14.25">
      <c r="A100" s="448">
        <v>100</v>
      </c>
      <c r="B100" s="448" t="str">
        <f t="shared" si="1"/>
        <v>Trad100</v>
      </c>
      <c r="C100" s="449" t="s">
        <v>2221</v>
      </c>
      <c r="D100" s="448" t="s">
        <v>2222</v>
      </c>
      <c r="E100" s="448" t="s">
        <v>2223</v>
      </c>
      <c r="F100" s="448" t="s">
        <v>2224</v>
      </c>
      <c r="G100" s="448" t="s">
        <v>2225</v>
      </c>
      <c r="H100" s="448" t="s">
        <v>2226</v>
      </c>
      <c r="I100" s="448" t="s">
        <v>2227</v>
      </c>
      <c r="J100" s="451" t="s">
        <v>2228</v>
      </c>
      <c r="K100" s="448" t="s">
        <v>2229</v>
      </c>
      <c r="L100" s="452" t="s">
        <v>2230</v>
      </c>
      <c r="M100" s="448" t="s">
        <v>2231</v>
      </c>
      <c r="N100" s="448" t="s">
        <v>2232</v>
      </c>
      <c r="O100" s="448" t="s">
        <v>2233</v>
      </c>
      <c r="P100" s="448" t="s">
        <v>2222</v>
      </c>
      <c r="Q100" s="448" t="s">
        <v>2224</v>
      </c>
      <c r="R100" s="453" t="s">
        <v>2234</v>
      </c>
      <c r="S100" s="448" t="s">
        <v>2235</v>
      </c>
      <c r="T100" s="448" t="s">
        <v>2236</v>
      </c>
      <c r="U100" s="448" t="s">
        <v>2237</v>
      </c>
      <c r="V100" s="448" t="s">
        <v>2238</v>
      </c>
    </row>
    <row r="101" spans="1:22" ht="14.25">
      <c r="A101" s="448">
        <v>101</v>
      </c>
      <c r="B101" s="448" t="str">
        <f t="shared" si="1"/>
        <v>Trad101</v>
      </c>
      <c r="C101" s="449" t="s">
        <v>2239</v>
      </c>
      <c r="D101" s="448" t="s">
        <v>2240</v>
      </c>
      <c r="E101" s="448" t="s">
        <v>2241</v>
      </c>
      <c r="F101" s="448" t="s">
        <v>2242</v>
      </c>
      <c r="G101" s="448" t="s">
        <v>2243</v>
      </c>
      <c r="H101" s="448" t="s">
        <v>2244</v>
      </c>
      <c r="I101" s="448" t="s">
        <v>2245</v>
      </c>
      <c r="J101" s="451" t="s">
        <v>2246</v>
      </c>
      <c r="K101" s="448" t="s">
        <v>2247</v>
      </c>
      <c r="L101" s="452" t="s">
        <v>2248</v>
      </c>
      <c r="M101" s="448" t="s">
        <v>2249</v>
      </c>
      <c r="N101" s="448" t="s">
        <v>2250</v>
      </c>
      <c r="O101" s="448" t="s">
        <v>2251</v>
      </c>
      <c r="P101" s="448" t="s">
        <v>2252</v>
      </c>
      <c r="Q101" s="448" t="s">
        <v>2253</v>
      </c>
      <c r="R101" s="453" t="s">
        <v>2254</v>
      </c>
      <c r="S101" s="448" t="s">
        <v>2255</v>
      </c>
      <c r="T101" s="448" t="s">
        <v>2256</v>
      </c>
      <c r="U101" s="448" t="s">
        <v>2257</v>
      </c>
      <c r="V101" s="448" t="s">
        <v>2258</v>
      </c>
    </row>
    <row r="102" spans="1:22" ht="14.25">
      <c r="A102" s="448">
        <v>102</v>
      </c>
      <c r="B102" s="448" t="str">
        <f t="shared" si="1"/>
        <v>Trad102</v>
      </c>
      <c r="C102" s="449" t="s">
        <v>2259</v>
      </c>
      <c r="D102" s="448" t="s">
        <v>2260</v>
      </c>
      <c r="E102" s="448" t="s">
        <v>2261</v>
      </c>
      <c r="F102" s="448" t="s">
        <v>2262</v>
      </c>
      <c r="G102" s="448" t="s">
        <v>2263</v>
      </c>
      <c r="H102" s="448" t="s">
        <v>2264</v>
      </c>
      <c r="I102" s="448" t="s">
        <v>2265</v>
      </c>
      <c r="J102" s="451" t="s">
        <v>2266</v>
      </c>
      <c r="K102" s="450" t="s">
        <v>2267</v>
      </c>
      <c r="L102" s="452" t="s">
        <v>2268</v>
      </c>
      <c r="M102" s="448" t="s">
        <v>2269</v>
      </c>
      <c r="N102" s="448" t="s">
        <v>2270</v>
      </c>
      <c r="O102" s="448" t="s">
        <v>2271</v>
      </c>
      <c r="P102" s="448" t="s">
        <v>2272</v>
      </c>
      <c r="Q102" s="448" t="s">
        <v>2273</v>
      </c>
      <c r="R102" s="453" t="s">
        <v>2274</v>
      </c>
      <c r="S102" s="448" t="s">
        <v>2275</v>
      </c>
      <c r="T102" s="448" t="s">
        <v>2276</v>
      </c>
      <c r="U102" s="448" t="s">
        <v>2277</v>
      </c>
      <c r="V102" s="448" t="s">
        <v>2278</v>
      </c>
    </row>
    <row r="103" spans="1:22" ht="14.25">
      <c r="A103" s="448">
        <v>103</v>
      </c>
      <c r="B103" s="448" t="str">
        <f t="shared" si="1"/>
        <v>Trad103</v>
      </c>
      <c r="C103" s="449" t="s">
        <v>2279</v>
      </c>
      <c r="D103" s="448" t="s">
        <v>2280</v>
      </c>
      <c r="E103" s="448" t="s">
        <v>2281</v>
      </c>
      <c r="F103" s="448" t="s">
        <v>2282</v>
      </c>
      <c r="G103" s="448" t="s">
        <v>2283</v>
      </c>
      <c r="H103" s="448" t="s">
        <v>2284</v>
      </c>
      <c r="I103" s="448" t="s">
        <v>2285</v>
      </c>
      <c r="J103" s="451" t="s">
        <v>2286</v>
      </c>
      <c r="K103" s="450" t="s">
        <v>2287</v>
      </c>
      <c r="L103" s="452" t="s">
        <v>2288</v>
      </c>
      <c r="M103" s="448" t="s">
        <v>2289</v>
      </c>
      <c r="N103" s="448" t="s">
        <v>2290</v>
      </c>
      <c r="O103" s="448" t="s">
        <v>2291</v>
      </c>
      <c r="P103" s="448" t="s">
        <v>2292</v>
      </c>
      <c r="Q103" s="448" t="s">
        <v>2293</v>
      </c>
      <c r="R103" s="453" t="s">
        <v>2294</v>
      </c>
      <c r="S103" s="448" t="s">
        <v>2295</v>
      </c>
      <c r="T103" s="448" t="s">
        <v>2296</v>
      </c>
      <c r="U103" s="448" t="s">
        <v>2297</v>
      </c>
      <c r="V103" s="448" t="s">
        <v>2298</v>
      </c>
    </row>
    <row r="104" spans="1:22" ht="14.25">
      <c r="A104" s="448">
        <v>104</v>
      </c>
      <c r="B104" s="448" t="str">
        <f t="shared" si="1"/>
        <v>Trad104</v>
      </c>
      <c r="C104" s="449" t="s">
        <v>2299</v>
      </c>
      <c r="D104" s="448" t="s">
        <v>2300</v>
      </c>
      <c r="E104" s="448" t="s">
        <v>2301</v>
      </c>
      <c r="F104" s="448" t="s">
        <v>2302</v>
      </c>
      <c r="G104" s="448" t="s">
        <v>1456</v>
      </c>
      <c r="H104" s="448" t="s">
        <v>414</v>
      </c>
      <c r="I104" s="448" t="s">
        <v>2303</v>
      </c>
      <c r="J104" s="451" t="s">
        <v>1456</v>
      </c>
      <c r="K104" s="448" t="s">
        <v>2304</v>
      </c>
      <c r="L104" s="452" t="s">
        <v>2305</v>
      </c>
      <c r="M104" s="448" t="s">
        <v>2306</v>
      </c>
      <c r="N104" s="448" t="s">
        <v>2307</v>
      </c>
      <c r="O104" s="448" t="s">
        <v>2308</v>
      </c>
      <c r="P104" s="448" t="s">
        <v>2305</v>
      </c>
      <c r="Q104" s="448" t="s">
        <v>2309</v>
      </c>
      <c r="R104" s="453" t="s">
        <v>2310</v>
      </c>
      <c r="S104" s="448" t="s">
        <v>423</v>
      </c>
      <c r="T104" s="448" t="s">
        <v>2311</v>
      </c>
      <c r="U104" s="448" t="s">
        <v>2312</v>
      </c>
      <c r="V104" s="448" t="s">
        <v>2313</v>
      </c>
    </row>
    <row r="105" spans="1:22" ht="14.25">
      <c r="A105" s="448">
        <v>105</v>
      </c>
      <c r="B105" s="448" t="str">
        <f t="shared" si="1"/>
        <v>Trad105</v>
      </c>
      <c r="C105" s="449" t="s">
        <v>2314</v>
      </c>
      <c r="D105" s="448" t="s">
        <v>2315</v>
      </c>
      <c r="E105" s="448" t="s">
        <v>2316</v>
      </c>
      <c r="F105" s="448" t="s">
        <v>2317</v>
      </c>
      <c r="G105" s="448" t="s">
        <v>2318</v>
      </c>
      <c r="H105" s="448" t="s">
        <v>2319</v>
      </c>
      <c r="I105" s="448" t="s">
        <v>2320</v>
      </c>
      <c r="J105" s="451" t="s">
        <v>2321</v>
      </c>
      <c r="K105" s="448" t="s">
        <v>2322</v>
      </c>
      <c r="L105" s="452" t="s">
        <v>2323</v>
      </c>
      <c r="M105" s="448" t="s">
        <v>2324</v>
      </c>
      <c r="N105" s="448" t="s">
        <v>2325</v>
      </c>
      <c r="O105" s="448" t="s">
        <v>2326</v>
      </c>
      <c r="P105" s="448" t="s">
        <v>2327</v>
      </c>
      <c r="Q105" s="448" t="s">
        <v>2328</v>
      </c>
      <c r="R105" s="453" t="s">
        <v>2329</v>
      </c>
      <c r="S105" s="448" t="s">
        <v>2330</v>
      </c>
      <c r="T105" s="448" t="s">
        <v>2331</v>
      </c>
      <c r="U105" s="448" t="s">
        <v>2332</v>
      </c>
      <c r="V105" s="448" t="s">
        <v>2333</v>
      </c>
    </row>
    <row r="106" spans="1:22" ht="14.25">
      <c r="A106" s="448">
        <v>106</v>
      </c>
      <c r="B106" s="448" t="str">
        <f t="shared" si="1"/>
        <v>Trad106</v>
      </c>
      <c r="C106" s="449" t="s">
        <v>2334</v>
      </c>
      <c r="D106" s="448" t="s">
        <v>2335</v>
      </c>
      <c r="E106" s="448" t="s">
        <v>2336</v>
      </c>
      <c r="F106" s="448" t="s">
        <v>2337</v>
      </c>
      <c r="G106" s="448" t="s">
        <v>2338</v>
      </c>
      <c r="H106" s="448" t="s">
        <v>2339</v>
      </c>
      <c r="I106" s="448" t="s">
        <v>2340</v>
      </c>
      <c r="J106" s="451" t="s">
        <v>2341</v>
      </c>
      <c r="K106" s="448" t="s">
        <v>2342</v>
      </c>
      <c r="L106" s="452" t="s">
        <v>2343</v>
      </c>
      <c r="M106" s="448" t="s">
        <v>2344</v>
      </c>
      <c r="N106" s="448" t="s">
        <v>2345</v>
      </c>
      <c r="O106" s="448" t="s">
        <v>2346</v>
      </c>
      <c r="P106" s="448" t="s">
        <v>2335</v>
      </c>
      <c r="Q106" s="448" t="s">
        <v>2347</v>
      </c>
      <c r="R106" s="453" t="s">
        <v>2348</v>
      </c>
      <c r="S106" s="448" t="s">
        <v>2349</v>
      </c>
      <c r="T106" s="448" t="s">
        <v>2350</v>
      </c>
      <c r="U106" s="448" t="s">
        <v>2351</v>
      </c>
      <c r="V106" s="448" t="s">
        <v>2352</v>
      </c>
    </row>
    <row r="107" spans="1:22" ht="14.25">
      <c r="A107" s="448">
        <v>107</v>
      </c>
      <c r="B107" s="448" t="str">
        <f t="shared" si="1"/>
        <v>Trad107</v>
      </c>
      <c r="C107" s="449" t="s">
        <v>2353</v>
      </c>
      <c r="D107" s="448" t="s">
        <v>2354</v>
      </c>
      <c r="E107" s="448" t="s">
        <v>2355</v>
      </c>
      <c r="F107" s="448" t="s">
        <v>2356</v>
      </c>
      <c r="G107" s="448" t="s">
        <v>2357</v>
      </c>
      <c r="H107" s="448" t="s">
        <v>2358</v>
      </c>
      <c r="I107" s="448" t="s">
        <v>2359</v>
      </c>
      <c r="J107" s="451" t="s">
        <v>2360</v>
      </c>
      <c r="K107" s="448" t="s">
        <v>2361</v>
      </c>
      <c r="L107" s="452" t="s">
        <v>2362</v>
      </c>
      <c r="M107" s="448" t="s">
        <v>2363</v>
      </c>
      <c r="N107" s="448" t="s">
        <v>2364</v>
      </c>
      <c r="O107" s="448" t="s">
        <v>2365</v>
      </c>
      <c r="P107" s="448" t="s">
        <v>2366</v>
      </c>
      <c r="Q107" s="448" t="s">
        <v>2367</v>
      </c>
      <c r="R107" s="453" t="s">
        <v>2368</v>
      </c>
      <c r="S107" s="448" t="s">
        <v>2369</v>
      </c>
      <c r="T107" s="448" t="s">
        <v>2370</v>
      </c>
      <c r="U107" s="448" t="s">
        <v>2371</v>
      </c>
      <c r="V107" s="448" t="s">
        <v>2372</v>
      </c>
    </row>
    <row r="108" spans="1:22" ht="14.25">
      <c r="A108" s="448">
        <v>108</v>
      </c>
      <c r="B108" s="448" t="str">
        <f t="shared" si="1"/>
        <v>Trad108</v>
      </c>
      <c r="C108" s="449" t="s">
        <v>2373</v>
      </c>
      <c r="D108" s="448" t="s">
        <v>2374</v>
      </c>
      <c r="E108" s="448" t="s">
        <v>2375</v>
      </c>
      <c r="F108" s="448" t="s">
        <v>2376</v>
      </c>
      <c r="G108" s="448" t="s">
        <v>2377</v>
      </c>
      <c r="H108" s="448" t="s">
        <v>2378</v>
      </c>
      <c r="I108" s="448" t="s">
        <v>2379</v>
      </c>
      <c r="J108" s="451" t="s">
        <v>2380</v>
      </c>
      <c r="K108" s="448" t="s">
        <v>2381</v>
      </c>
      <c r="L108" s="452" t="s">
        <v>2382</v>
      </c>
      <c r="M108" s="448" t="s">
        <v>2383</v>
      </c>
      <c r="N108" s="448" t="s">
        <v>2384</v>
      </c>
      <c r="O108" s="448" t="s">
        <v>2385</v>
      </c>
      <c r="P108" s="448" t="s">
        <v>2386</v>
      </c>
      <c r="Q108" s="448" t="s">
        <v>2387</v>
      </c>
      <c r="R108" s="453" t="s">
        <v>2388</v>
      </c>
      <c r="S108" s="448" t="s">
        <v>2389</v>
      </c>
      <c r="T108" s="448" t="s">
        <v>2390</v>
      </c>
      <c r="U108" s="448" t="s">
        <v>2391</v>
      </c>
      <c r="V108" s="448" t="s">
        <v>2392</v>
      </c>
    </row>
    <row r="109" spans="1:22" ht="14.25">
      <c r="A109" s="448">
        <v>109</v>
      </c>
      <c r="B109" s="448" t="str">
        <f t="shared" si="1"/>
        <v>Trad109</v>
      </c>
      <c r="C109" s="449" t="s">
        <v>2393</v>
      </c>
      <c r="D109" s="448" t="s">
        <v>2394</v>
      </c>
      <c r="E109" s="448" t="s">
        <v>2395</v>
      </c>
      <c r="F109" s="448" t="s">
        <v>2396</v>
      </c>
      <c r="G109" s="448" t="s">
        <v>2397</v>
      </c>
      <c r="H109" s="448" t="s">
        <v>2398</v>
      </c>
      <c r="I109" s="448" t="s">
        <v>2399</v>
      </c>
      <c r="J109" s="451" t="s">
        <v>2400</v>
      </c>
      <c r="K109" s="448" t="s">
        <v>2401</v>
      </c>
      <c r="L109" s="452" t="s">
        <v>2402</v>
      </c>
      <c r="M109" s="448" t="s">
        <v>2403</v>
      </c>
      <c r="N109" s="448" t="s">
        <v>2404</v>
      </c>
      <c r="O109" s="448" t="s">
        <v>2405</v>
      </c>
      <c r="P109" s="448" t="s">
        <v>2406</v>
      </c>
      <c r="Q109" s="448" t="s">
        <v>2407</v>
      </c>
      <c r="R109" s="453" t="s">
        <v>2408</v>
      </c>
      <c r="S109" s="448" t="s">
        <v>2409</v>
      </c>
      <c r="T109" s="448" t="s">
        <v>2410</v>
      </c>
      <c r="U109" s="448" t="s">
        <v>2411</v>
      </c>
      <c r="V109" s="448" t="s">
        <v>2412</v>
      </c>
    </row>
    <row r="110" spans="1:22" ht="14.25">
      <c r="A110" s="448">
        <v>110</v>
      </c>
      <c r="B110" s="448" t="str">
        <f t="shared" si="1"/>
        <v>Trad110</v>
      </c>
      <c r="C110" s="449" t="s">
        <v>2413</v>
      </c>
      <c r="D110" s="448" t="s">
        <v>2414</v>
      </c>
      <c r="E110" s="448" t="s">
        <v>2415</v>
      </c>
      <c r="F110" s="448" t="s">
        <v>2416</v>
      </c>
      <c r="G110" s="448" t="s">
        <v>2417</v>
      </c>
      <c r="H110" s="448" t="s">
        <v>2418</v>
      </c>
      <c r="I110" s="448" t="s">
        <v>2419</v>
      </c>
      <c r="J110" s="451" t="s">
        <v>2420</v>
      </c>
      <c r="K110" s="450" t="s">
        <v>2421</v>
      </c>
      <c r="L110" s="452" t="s">
        <v>2422</v>
      </c>
      <c r="M110" s="448" t="s">
        <v>2423</v>
      </c>
      <c r="N110" s="448" t="s">
        <v>2424</v>
      </c>
      <c r="O110" s="448" t="s">
        <v>2425</v>
      </c>
      <c r="P110" s="448" t="s">
        <v>2426</v>
      </c>
      <c r="Q110" s="448" t="s">
        <v>2427</v>
      </c>
      <c r="R110" s="453" t="s">
        <v>2428</v>
      </c>
      <c r="S110" s="448" t="s">
        <v>2429</v>
      </c>
      <c r="T110" s="448" t="s">
        <v>2430</v>
      </c>
      <c r="U110" s="448" t="s">
        <v>2431</v>
      </c>
      <c r="V110" s="448" t="s">
        <v>2432</v>
      </c>
    </row>
    <row r="111" spans="1:22" ht="14.25">
      <c r="A111" s="448">
        <v>111</v>
      </c>
      <c r="B111" s="448" t="str">
        <f t="shared" si="1"/>
        <v>Trad111</v>
      </c>
      <c r="C111" s="449" t="s">
        <v>2433</v>
      </c>
      <c r="D111" s="448" t="s">
        <v>2434</v>
      </c>
      <c r="E111" s="448" t="s">
        <v>2435</v>
      </c>
      <c r="F111" s="448" t="s">
        <v>2436</v>
      </c>
      <c r="G111" s="448" t="s">
        <v>2437</v>
      </c>
      <c r="H111" s="448" t="s">
        <v>2438</v>
      </c>
      <c r="I111" s="448" t="s">
        <v>2439</v>
      </c>
      <c r="J111" s="451" t="s">
        <v>2440</v>
      </c>
      <c r="K111" s="448" t="s">
        <v>2441</v>
      </c>
      <c r="L111" s="452" t="s">
        <v>2442</v>
      </c>
      <c r="M111" s="448" t="s">
        <v>2443</v>
      </c>
      <c r="N111" s="448" t="s">
        <v>2444</v>
      </c>
      <c r="O111" s="448" t="s">
        <v>2445</v>
      </c>
      <c r="P111" s="448" t="s">
        <v>2446</v>
      </c>
      <c r="Q111" s="448" t="s">
        <v>2447</v>
      </c>
      <c r="R111" s="453" t="s">
        <v>2448</v>
      </c>
      <c r="S111" s="448" t="s">
        <v>2449</v>
      </c>
      <c r="T111" s="448" t="s">
        <v>2450</v>
      </c>
      <c r="U111" s="448" t="s">
        <v>2451</v>
      </c>
      <c r="V111" s="448" t="s">
        <v>2452</v>
      </c>
    </row>
    <row r="112" spans="1:22" ht="14.25">
      <c r="A112" s="448">
        <v>112</v>
      </c>
      <c r="B112" s="448" t="str">
        <f t="shared" si="1"/>
        <v>Trad112</v>
      </c>
      <c r="C112" s="449" t="s">
        <v>2453</v>
      </c>
      <c r="D112" s="448" t="s">
        <v>2454</v>
      </c>
      <c r="E112" s="448" t="s">
        <v>2455</v>
      </c>
      <c r="F112" s="448" t="s">
        <v>2456</v>
      </c>
      <c r="G112" s="448" t="s">
        <v>2457</v>
      </c>
      <c r="H112" s="448" t="s">
        <v>2458</v>
      </c>
      <c r="I112" s="448" t="s">
        <v>2459</v>
      </c>
      <c r="J112" s="451" t="s">
        <v>2460</v>
      </c>
      <c r="K112" s="448" t="s">
        <v>2461</v>
      </c>
      <c r="L112" s="452" t="s">
        <v>2462</v>
      </c>
      <c r="M112" s="448" t="s">
        <v>2463</v>
      </c>
      <c r="N112" s="448" t="s">
        <v>2464</v>
      </c>
      <c r="O112" s="448" t="s">
        <v>2465</v>
      </c>
      <c r="P112" s="448" t="s">
        <v>2466</v>
      </c>
      <c r="Q112" s="448" t="s">
        <v>2467</v>
      </c>
      <c r="R112" s="453" t="s">
        <v>2468</v>
      </c>
      <c r="S112" s="448" t="s">
        <v>2469</v>
      </c>
      <c r="T112" s="448" t="s">
        <v>2470</v>
      </c>
      <c r="U112" s="448" t="s">
        <v>2471</v>
      </c>
      <c r="V112" s="448" t="s">
        <v>2472</v>
      </c>
    </row>
    <row r="113" spans="1:22" ht="14.25">
      <c r="A113" s="448">
        <v>113</v>
      </c>
      <c r="B113" s="448" t="str">
        <f t="shared" si="1"/>
        <v>Trad113</v>
      </c>
      <c r="C113" s="449" t="s">
        <v>2473</v>
      </c>
      <c r="D113" s="448" t="s">
        <v>2474</v>
      </c>
      <c r="E113" s="448" t="s">
        <v>2475</v>
      </c>
      <c r="F113" s="448" t="s">
        <v>2476</v>
      </c>
      <c r="G113" s="448" t="s">
        <v>2477</v>
      </c>
      <c r="H113" s="448" t="s">
        <v>2478</v>
      </c>
      <c r="I113" s="448" t="s">
        <v>2479</v>
      </c>
      <c r="J113" s="451" t="s">
        <v>2480</v>
      </c>
      <c r="K113" s="448" t="s">
        <v>2481</v>
      </c>
      <c r="L113" s="452" t="s">
        <v>2482</v>
      </c>
      <c r="M113" s="448" t="s">
        <v>2483</v>
      </c>
      <c r="N113" s="448" t="s">
        <v>2484</v>
      </c>
      <c r="O113" s="448" t="s">
        <v>2485</v>
      </c>
      <c r="P113" s="448" t="s">
        <v>2474</v>
      </c>
      <c r="Q113" s="448" t="s">
        <v>2486</v>
      </c>
      <c r="R113" s="453" t="s">
        <v>2487</v>
      </c>
      <c r="S113" s="448" t="s">
        <v>2488</v>
      </c>
      <c r="T113" s="448" t="s">
        <v>2489</v>
      </c>
      <c r="U113" s="448" t="s">
        <v>2490</v>
      </c>
      <c r="V113" s="448" t="s">
        <v>2491</v>
      </c>
    </row>
    <row r="114" spans="1:22" ht="14.25">
      <c r="A114" s="448">
        <v>114</v>
      </c>
      <c r="B114" s="448" t="str">
        <f t="shared" si="1"/>
        <v>Trad114</v>
      </c>
      <c r="C114" s="449" t="s">
        <v>2492</v>
      </c>
      <c r="D114" s="448" t="s">
        <v>2493</v>
      </c>
      <c r="E114" s="448" t="s">
        <v>2494</v>
      </c>
      <c r="F114" s="448" t="s">
        <v>2493</v>
      </c>
      <c r="G114" s="448" t="s">
        <v>2495</v>
      </c>
      <c r="H114" s="448" t="s">
        <v>2496</v>
      </c>
      <c r="I114" s="448" t="s">
        <v>2497</v>
      </c>
      <c r="J114" s="451" t="s">
        <v>2493</v>
      </c>
      <c r="K114" s="448" t="s">
        <v>2493</v>
      </c>
      <c r="L114" s="452" t="s">
        <v>2498</v>
      </c>
      <c r="M114" s="448" t="s">
        <v>2493</v>
      </c>
      <c r="N114" s="448" t="s">
        <v>2493</v>
      </c>
      <c r="O114" s="448" t="s">
        <v>2499</v>
      </c>
      <c r="P114" s="448" t="s">
        <v>2493</v>
      </c>
      <c r="Q114" s="448" t="s">
        <v>2493</v>
      </c>
      <c r="R114" s="453" t="s">
        <v>2493</v>
      </c>
      <c r="S114" s="448" t="s">
        <v>2493</v>
      </c>
      <c r="T114" s="448" t="s">
        <v>2493</v>
      </c>
      <c r="U114" s="448" t="s">
        <v>2500</v>
      </c>
      <c r="V114" s="448" t="s">
        <v>2493</v>
      </c>
    </row>
    <row r="115" spans="1:22" ht="14.25">
      <c r="A115" s="448">
        <v>115</v>
      </c>
      <c r="B115" s="448" t="str">
        <f t="shared" si="1"/>
        <v>Trad115</v>
      </c>
      <c r="C115" s="449" t="s">
        <v>2501</v>
      </c>
      <c r="D115" s="448" t="s">
        <v>2502</v>
      </c>
      <c r="E115" s="448" t="s">
        <v>2503</v>
      </c>
      <c r="F115" s="448" t="s">
        <v>2502</v>
      </c>
      <c r="G115" s="448" t="s">
        <v>2504</v>
      </c>
      <c r="H115" s="448" t="s">
        <v>2505</v>
      </c>
      <c r="I115" s="448" t="s">
        <v>2506</v>
      </c>
      <c r="J115" s="451" t="s">
        <v>2504</v>
      </c>
      <c r="K115" s="448" t="s">
        <v>2507</v>
      </c>
      <c r="L115" s="452" t="s">
        <v>2501</v>
      </c>
      <c r="M115" s="448" t="s">
        <v>2501</v>
      </c>
      <c r="N115" s="448" t="s">
        <v>2501</v>
      </c>
      <c r="O115" s="448" t="s">
        <v>2508</v>
      </c>
      <c r="P115" s="448" t="s">
        <v>2509</v>
      </c>
      <c r="Q115" s="448" t="s">
        <v>2502</v>
      </c>
      <c r="R115" s="453" t="s">
        <v>2510</v>
      </c>
      <c r="S115" s="448" t="s">
        <v>2502</v>
      </c>
      <c r="T115" s="448" t="s">
        <v>2502</v>
      </c>
      <c r="U115" s="448" t="s">
        <v>2511</v>
      </c>
      <c r="V115" s="448" t="s">
        <v>2509</v>
      </c>
    </row>
    <row r="116" spans="1:22" ht="14.25">
      <c r="A116" s="448">
        <v>116</v>
      </c>
      <c r="B116" s="448" t="str">
        <f t="shared" si="1"/>
        <v>Trad116</v>
      </c>
      <c r="C116" s="449" t="s">
        <v>2512</v>
      </c>
      <c r="D116" s="448" t="s">
        <v>2513</v>
      </c>
      <c r="E116" s="448" t="s">
        <v>2514</v>
      </c>
      <c r="F116" s="448" t="s">
        <v>2515</v>
      </c>
      <c r="G116" s="448" t="s">
        <v>2516</v>
      </c>
      <c r="H116" s="448" t="s">
        <v>2517</v>
      </c>
      <c r="I116" s="448" t="s">
        <v>2518</v>
      </c>
      <c r="J116" s="451" t="s">
        <v>2516</v>
      </c>
      <c r="K116" s="448" t="s">
        <v>2519</v>
      </c>
      <c r="L116" s="452" t="s">
        <v>2520</v>
      </c>
      <c r="M116" s="448" t="s">
        <v>2521</v>
      </c>
      <c r="N116" s="448" t="s">
        <v>2522</v>
      </c>
      <c r="O116" s="448" t="s">
        <v>2523</v>
      </c>
      <c r="P116" s="448" t="s">
        <v>2524</v>
      </c>
      <c r="Q116" s="448" t="s">
        <v>2525</v>
      </c>
      <c r="R116" s="453" t="s">
        <v>2526</v>
      </c>
      <c r="S116" s="448" t="s">
        <v>2522</v>
      </c>
      <c r="T116" s="448" t="s">
        <v>2522</v>
      </c>
      <c r="U116" s="448" t="s">
        <v>2522</v>
      </c>
      <c r="V116" s="448" t="s">
        <v>2522</v>
      </c>
    </row>
    <row r="117" spans="1:22" ht="14.25">
      <c r="A117" s="448">
        <v>117</v>
      </c>
      <c r="B117" s="448" t="str">
        <f t="shared" si="1"/>
        <v>Trad117</v>
      </c>
      <c r="C117" s="449" t="s">
        <v>2527</v>
      </c>
      <c r="D117" s="448" t="s">
        <v>2528</v>
      </c>
      <c r="E117" s="448" t="s">
        <v>2529</v>
      </c>
      <c r="F117" s="448" t="s">
        <v>2530</v>
      </c>
      <c r="G117" s="448" t="s">
        <v>2531</v>
      </c>
      <c r="H117" s="448" t="s">
        <v>2532</v>
      </c>
      <c r="I117" s="448" t="s">
        <v>2533</v>
      </c>
      <c r="J117" s="451" t="s">
        <v>2534</v>
      </c>
      <c r="K117" s="448" t="s">
        <v>2535</v>
      </c>
      <c r="L117" s="452" t="s">
        <v>2536</v>
      </c>
      <c r="M117" s="448" t="s">
        <v>2537</v>
      </c>
      <c r="N117" s="448" t="s">
        <v>2538</v>
      </c>
      <c r="O117" s="448" t="s">
        <v>2539</v>
      </c>
      <c r="P117" s="448" t="s">
        <v>2540</v>
      </c>
      <c r="Q117" s="448" t="s">
        <v>2541</v>
      </c>
      <c r="R117" s="453" t="s">
        <v>2542</v>
      </c>
      <c r="S117" s="448" t="s">
        <v>2543</v>
      </c>
      <c r="T117" s="448" t="s">
        <v>2544</v>
      </c>
      <c r="U117" s="448" t="s">
        <v>2545</v>
      </c>
      <c r="V117" s="448" t="s">
        <v>2546</v>
      </c>
    </row>
    <row r="118" spans="1:22" ht="14.25">
      <c r="A118" s="448">
        <v>118</v>
      </c>
      <c r="B118" s="448" t="str">
        <f t="shared" si="1"/>
        <v>Trad118</v>
      </c>
      <c r="C118" s="449" t="s">
        <v>2547</v>
      </c>
      <c r="D118" s="448" t="s">
        <v>2548</v>
      </c>
      <c r="E118" s="448" t="s">
        <v>2549</v>
      </c>
      <c r="F118" s="448" t="s">
        <v>2550</v>
      </c>
      <c r="G118" s="448" t="s">
        <v>2551</v>
      </c>
      <c r="H118" s="448" t="s">
        <v>2552</v>
      </c>
      <c r="I118" s="448" t="s">
        <v>2553</v>
      </c>
      <c r="J118" s="451" t="s">
        <v>2554</v>
      </c>
      <c r="K118" s="448" t="s">
        <v>2555</v>
      </c>
      <c r="L118" s="452" t="s">
        <v>2556</v>
      </c>
      <c r="M118" s="448" t="s">
        <v>2557</v>
      </c>
      <c r="N118" s="448" t="s">
        <v>2556</v>
      </c>
      <c r="O118" s="448" t="s">
        <v>2558</v>
      </c>
      <c r="P118" s="448" t="s">
        <v>2559</v>
      </c>
      <c r="Q118" s="448" t="s">
        <v>2560</v>
      </c>
      <c r="R118" s="453" t="s">
        <v>2561</v>
      </c>
      <c r="S118" s="448" t="s">
        <v>2562</v>
      </c>
      <c r="T118" s="448" t="s">
        <v>2563</v>
      </c>
      <c r="U118" s="448" t="s">
        <v>2564</v>
      </c>
      <c r="V118" s="448" t="s">
        <v>2565</v>
      </c>
    </row>
    <row r="119" spans="1:22" ht="14.25">
      <c r="A119" s="448">
        <v>119</v>
      </c>
      <c r="B119" s="448" t="str">
        <f t="shared" si="1"/>
        <v>Trad119</v>
      </c>
      <c r="C119" s="449" t="s">
        <v>2566</v>
      </c>
      <c r="D119" s="448" t="s">
        <v>2567</v>
      </c>
      <c r="E119" s="448" t="s">
        <v>2568</v>
      </c>
      <c r="F119" s="448" t="s">
        <v>2566</v>
      </c>
      <c r="G119" s="448" t="s">
        <v>2566</v>
      </c>
      <c r="H119" s="448" t="s">
        <v>2569</v>
      </c>
      <c r="I119" s="448" t="s">
        <v>2570</v>
      </c>
      <c r="J119" s="451" t="s">
        <v>2566</v>
      </c>
      <c r="K119" s="448" t="s">
        <v>2571</v>
      </c>
      <c r="L119" s="452" t="s">
        <v>2572</v>
      </c>
      <c r="M119" s="448" t="s">
        <v>2566</v>
      </c>
      <c r="N119" s="448" t="s">
        <v>2566</v>
      </c>
      <c r="O119" s="448" t="s">
        <v>2573</v>
      </c>
      <c r="P119" s="448" t="s">
        <v>2566</v>
      </c>
      <c r="Q119" s="448" t="s">
        <v>2566</v>
      </c>
      <c r="R119" s="453" t="s">
        <v>2566</v>
      </c>
      <c r="S119" s="448" t="s">
        <v>2566</v>
      </c>
      <c r="T119" s="448" t="s">
        <v>2574</v>
      </c>
      <c r="U119" s="448" t="s">
        <v>2566</v>
      </c>
      <c r="V119" s="448" t="s">
        <v>2566</v>
      </c>
    </row>
    <row r="120" spans="1:22" ht="14.25">
      <c r="A120" s="448">
        <v>120</v>
      </c>
      <c r="B120" s="448" t="str">
        <f t="shared" si="1"/>
        <v>Trad120</v>
      </c>
      <c r="C120" s="449" t="s">
        <v>2575</v>
      </c>
      <c r="D120" s="448" t="s">
        <v>2576</v>
      </c>
      <c r="E120" s="448" t="s">
        <v>2577</v>
      </c>
      <c r="F120" s="448" t="s">
        <v>2578</v>
      </c>
      <c r="G120" s="448" t="s">
        <v>2579</v>
      </c>
      <c r="H120" s="448" t="s">
        <v>2580</v>
      </c>
      <c r="I120" s="448" t="s">
        <v>2581</v>
      </c>
      <c r="J120" s="451" t="s">
        <v>2578</v>
      </c>
      <c r="K120" s="448" t="s">
        <v>832</v>
      </c>
      <c r="L120" s="452" t="s">
        <v>2582</v>
      </c>
      <c r="M120" s="448" t="s">
        <v>2578</v>
      </c>
      <c r="N120" s="448" t="s">
        <v>2578</v>
      </c>
      <c r="O120" s="448" t="s">
        <v>2583</v>
      </c>
      <c r="P120" s="448" t="s">
        <v>2578</v>
      </c>
      <c r="Q120" s="448" t="s">
        <v>2578</v>
      </c>
      <c r="R120" s="453" t="s">
        <v>2578</v>
      </c>
      <c r="S120" s="448" t="s">
        <v>2584</v>
      </c>
      <c r="T120" s="448" t="s">
        <v>2585</v>
      </c>
      <c r="U120" s="448" t="s">
        <v>2586</v>
      </c>
      <c r="V120" s="448" t="s">
        <v>841</v>
      </c>
    </row>
    <row r="121" spans="1:22" ht="14.25">
      <c r="A121" s="448">
        <v>121</v>
      </c>
      <c r="B121" s="448" t="str">
        <f t="shared" si="1"/>
        <v>Trad121</v>
      </c>
      <c r="C121" s="449" t="s">
        <v>2587</v>
      </c>
      <c r="D121" s="448" t="s">
        <v>2588</v>
      </c>
      <c r="E121" s="448" t="s">
        <v>2589</v>
      </c>
      <c r="F121" s="448" t="s">
        <v>2590</v>
      </c>
      <c r="G121" s="448" t="s">
        <v>2591</v>
      </c>
      <c r="H121" s="448" t="s">
        <v>2589</v>
      </c>
      <c r="I121" s="448" t="s">
        <v>2592</v>
      </c>
      <c r="J121" s="451" t="s">
        <v>2593</v>
      </c>
      <c r="K121" s="448" t="s">
        <v>2594</v>
      </c>
      <c r="L121" s="452" t="s">
        <v>2595</v>
      </c>
      <c r="M121" s="448" t="s">
        <v>2587</v>
      </c>
      <c r="N121" s="448" t="s">
        <v>2596</v>
      </c>
      <c r="O121" s="448" t="s">
        <v>2597</v>
      </c>
      <c r="P121" s="448" t="s">
        <v>2598</v>
      </c>
      <c r="Q121" s="448" t="s">
        <v>2599</v>
      </c>
      <c r="R121" s="453" t="s">
        <v>2587</v>
      </c>
      <c r="S121" s="448" t="s">
        <v>2600</v>
      </c>
      <c r="T121" s="448" t="s">
        <v>2601</v>
      </c>
      <c r="U121" s="448" t="s">
        <v>2602</v>
      </c>
      <c r="V121" s="448" t="s">
        <v>2603</v>
      </c>
    </row>
    <row r="122" spans="1:22" ht="14.25">
      <c r="A122" s="448">
        <v>122</v>
      </c>
      <c r="B122" s="448" t="str">
        <f t="shared" si="1"/>
        <v>Trad122</v>
      </c>
      <c r="C122" s="449" t="s">
        <v>2604</v>
      </c>
      <c r="D122" s="448" t="s">
        <v>2605</v>
      </c>
      <c r="E122" s="448" t="s">
        <v>2606</v>
      </c>
      <c r="F122" s="448" t="s">
        <v>2607</v>
      </c>
      <c r="G122" s="448" t="s">
        <v>2608</v>
      </c>
      <c r="H122" s="448" t="s">
        <v>2609</v>
      </c>
      <c r="I122" s="448" t="s">
        <v>2610</v>
      </c>
      <c r="J122" s="451" t="s">
        <v>2608</v>
      </c>
      <c r="K122" s="448" t="s">
        <v>2611</v>
      </c>
      <c r="L122" s="452" t="s">
        <v>2612</v>
      </c>
      <c r="M122" s="448" t="s">
        <v>2613</v>
      </c>
      <c r="N122" s="448" t="s">
        <v>2604</v>
      </c>
      <c r="O122" s="448" t="s">
        <v>2614</v>
      </c>
      <c r="P122" s="448" t="s">
        <v>2605</v>
      </c>
      <c r="Q122" s="448" t="s">
        <v>2615</v>
      </c>
      <c r="R122" s="453" t="s">
        <v>2613</v>
      </c>
      <c r="S122" s="448" t="s">
        <v>2616</v>
      </c>
      <c r="T122" s="448" t="s">
        <v>2617</v>
      </c>
      <c r="U122" s="448" t="s">
        <v>2618</v>
      </c>
      <c r="V122" s="448" t="s">
        <v>2619</v>
      </c>
    </row>
    <row r="123" spans="1:22" ht="14.25">
      <c r="A123" s="448">
        <v>123</v>
      </c>
      <c r="B123" s="448" t="str">
        <f t="shared" si="1"/>
        <v>Trad123</v>
      </c>
      <c r="C123" s="449" t="s">
        <v>2620</v>
      </c>
      <c r="D123" s="448" t="s">
        <v>2621</v>
      </c>
      <c r="E123" s="448" t="s">
        <v>2622</v>
      </c>
      <c r="F123" s="448" t="s">
        <v>2623</v>
      </c>
      <c r="G123" s="448" t="s">
        <v>2624</v>
      </c>
      <c r="H123" s="448" t="s">
        <v>2625</v>
      </c>
      <c r="I123" s="448" t="s">
        <v>2626</v>
      </c>
      <c r="J123" s="451" t="s">
        <v>2624</v>
      </c>
      <c r="K123" s="448" t="s">
        <v>2627</v>
      </c>
      <c r="L123" s="452" t="s">
        <v>2628</v>
      </c>
      <c r="M123" s="448" t="s">
        <v>2620</v>
      </c>
      <c r="N123" s="448" t="s">
        <v>2624</v>
      </c>
      <c r="O123" s="448" t="s">
        <v>2629</v>
      </c>
      <c r="P123" s="448" t="s">
        <v>2628</v>
      </c>
      <c r="Q123" s="448" t="s">
        <v>2630</v>
      </c>
      <c r="R123" s="453" t="s">
        <v>2620</v>
      </c>
      <c r="S123" s="448" t="s">
        <v>2628</v>
      </c>
      <c r="T123" s="448" t="s">
        <v>2631</v>
      </c>
      <c r="U123" s="448" t="s">
        <v>2632</v>
      </c>
      <c r="V123" s="448" t="s">
        <v>2633</v>
      </c>
    </row>
    <row r="124" spans="1:22" ht="14.25">
      <c r="A124" s="448">
        <v>124</v>
      </c>
      <c r="B124" s="448" t="str">
        <f t="shared" si="1"/>
        <v>Trad124</v>
      </c>
      <c r="C124" s="449" t="s">
        <v>2634</v>
      </c>
      <c r="D124" s="448" t="s">
        <v>2635</v>
      </c>
      <c r="E124" s="448" t="s">
        <v>2636</v>
      </c>
      <c r="F124" s="448" t="s">
        <v>2637</v>
      </c>
      <c r="G124" s="448" t="s">
        <v>2638</v>
      </c>
      <c r="H124" s="448" t="s">
        <v>2639</v>
      </c>
      <c r="I124" s="448" t="s">
        <v>2640</v>
      </c>
      <c r="J124" s="451" t="s">
        <v>2641</v>
      </c>
      <c r="K124" s="448" t="s">
        <v>2642</v>
      </c>
      <c r="L124" s="452" t="s">
        <v>2643</v>
      </c>
      <c r="M124" s="448" t="s">
        <v>2644</v>
      </c>
      <c r="N124" s="448" t="s">
        <v>2645</v>
      </c>
      <c r="O124" s="448" t="s">
        <v>2646</v>
      </c>
      <c r="P124" s="448" t="s">
        <v>2647</v>
      </c>
      <c r="Q124" s="448" t="s">
        <v>2648</v>
      </c>
      <c r="R124" s="453" t="s">
        <v>2649</v>
      </c>
      <c r="S124" s="448" t="s">
        <v>2650</v>
      </c>
      <c r="T124" s="448" t="s">
        <v>2651</v>
      </c>
      <c r="U124" s="448" t="s">
        <v>2652</v>
      </c>
      <c r="V124" s="448" t="s">
        <v>2653</v>
      </c>
    </row>
    <row r="125" spans="1:22" ht="14.25">
      <c r="A125" s="448">
        <v>125</v>
      </c>
      <c r="B125" s="448" t="str">
        <f t="shared" si="1"/>
        <v>Trad125</v>
      </c>
      <c r="C125" s="449" t="s">
        <v>2654</v>
      </c>
      <c r="D125" s="448" t="s">
        <v>1348</v>
      </c>
      <c r="E125" s="448" t="s">
        <v>2655</v>
      </c>
      <c r="F125" s="448" t="s">
        <v>2656</v>
      </c>
      <c r="G125" s="448" t="s">
        <v>2657</v>
      </c>
      <c r="H125" s="448" t="s">
        <v>2658</v>
      </c>
      <c r="I125" s="448" t="s">
        <v>2659</v>
      </c>
      <c r="J125" s="451" t="s">
        <v>2660</v>
      </c>
      <c r="K125" s="448" t="s">
        <v>2661</v>
      </c>
      <c r="L125" s="452" t="s">
        <v>2662</v>
      </c>
      <c r="M125" s="448" t="s">
        <v>2663</v>
      </c>
      <c r="N125" s="448" t="s">
        <v>2664</v>
      </c>
      <c r="O125" s="448" t="s">
        <v>2665</v>
      </c>
      <c r="P125" s="448" t="s">
        <v>2666</v>
      </c>
      <c r="Q125" s="448" t="s">
        <v>2667</v>
      </c>
      <c r="R125" s="453" t="s">
        <v>2668</v>
      </c>
      <c r="S125" s="448" t="s">
        <v>2669</v>
      </c>
      <c r="T125" s="448" t="s">
        <v>2670</v>
      </c>
      <c r="U125" s="448" t="s">
        <v>2671</v>
      </c>
      <c r="V125" s="448" t="s">
        <v>2672</v>
      </c>
    </row>
    <row r="126" spans="1:22" ht="14.25">
      <c r="A126" s="448">
        <v>126</v>
      </c>
      <c r="B126" s="448" t="str">
        <f t="shared" si="1"/>
        <v>Trad126</v>
      </c>
      <c r="C126" s="449" t="s">
        <v>2673</v>
      </c>
      <c r="D126" s="448" t="s">
        <v>2674</v>
      </c>
      <c r="E126" s="448" t="s">
        <v>2675</v>
      </c>
      <c r="F126" s="448" t="s">
        <v>2676</v>
      </c>
      <c r="G126" s="448" t="s">
        <v>2677</v>
      </c>
      <c r="H126" s="448" t="s">
        <v>2678</v>
      </c>
      <c r="I126" s="448" t="s">
        <v>2679</v>
      </c>
      <c r="J126" s="451" t="s">
        <v>2680</v>
      </c>
      <c r="K126" s="450" t="s">
        <v>2681</v>
      </c>
      <c r="L126" s="452" t="s">
        <v>1336</v>
      </c>
      <c r="M126" s="448" t="s">
        <v>2682</v>
      </c>
      <c r="N126" s="448" t="s">
        <v>2683</v>
      </c>
      <c r="O126" s="448" t="s">
        <v>2684</v>
      </c>
      <c r="P126" s="448" t="s">
        <v>2685</v>
      </c>
      <c r="Q126" s="448" t="s">
        <v>2686</v>
      </c>
      <c r="R126" s="453" t="s">
        <v>2687</v>
      </c>
      <c r="S126" s="448" t="s">
        <v>2680</v>
      </c>
      <c r="T126" s="448" t="s">
        <v>1344</v>
      </c>
      <c r="U126" s="448" t="s">
        <v>2688</v>
      </c>
      <c r="V126" s="448" t="s">
        <v>1346</v>
      </c>
    </row>
    <row r="127" spans="1:22" ht="14.25">
      <c r="A127" s="448">
        <v>127</v>
      </c>
      <c r="B127" s="448" t="str">
        <f t="shared" si="1"/>
        <v>Trad127</v>
      </c>
      <c r="C127" s="449" t="s">
        <v>2689</v>
      </c>
      <c r="D127" s="448" t="s">
        <v>2690</v>
      </c>
      <c r="E127" s="448" t="s">
        <v>2691</v>
      </c>
      <c r="F127" s="448" t="s">
        <v>2692</v>
      </c>
      <c r="G127" s="448" t="s">
        <v>2693</v>
      </c>
      <c r="H127" s="448" t="s">
        <v>2694</v>
      </c>
      <c r="I127" s="448" t="s">
        <v>2695</v>
      </c>
      <c r="J127" s="451" t="s">
        <v>2693</v>
      </c>
      <c r="K127" s="450" t="s">
        <v>2696</v>
      </c>
      <c r="L127" s="452" t="s">
        <v>2697</v>
      </c>
      <c r="M127" s="448" t="s">
        <v>2698</v>
      </c>
      <c r="N127" s="448" t="s">
        <v>2699</v>
      </c>
      <c r="O127" s="448" t="s">
        <v>2700</v>
      </c>
      <c r="P127" s="448" t="s">
        <v>2701</v>
      </c>
      <c r="Q127" s="448" t="s">
        <v>2702</v>
      </c>
      <c r="R127" s="453" t="s">
        <v>2703</v>
      </c>
      <c r="S127" s="448" t="s">
        <v>2704</v>
      </c>
      <c r="T127" s="448" t="s">
        <v>2705</v>
      </c>
      <c r="U127" s="448" t="s">
        <v>2706</v>
      </c>
      <c r="V127" s="448" t="s">
        <v>2707</v>
      </c>
    </row>
    <row r="128" spans="1:22" ht="14.25">
      <c r="A128" s="448">
        <v>128</v>
      </c>
      <c r="B128" s="448" t="str">
        <f t="shared" si="1"/>
        <v>Trad128</v>
      </c>
      <c r="C128" s="449" t="s">
        <v>2708</v>
      </c>
      <c r="D128" s="448" t="s">
        <v>2709</v>
      </c>
      <c r="E128" s="448" t="s">
        <v>2710</v>
      </c>
      <c r="F128" s="448" t="s">
        <v>2711</v>
      </c>
      <c r="G128" s="448" t="s">
        <v>2712</v>
      </c>
      <c r="H128" s="448" t="s">
        <v>2713</v>
      </c>
      <c r="I128" s="448" t="s">
        <v>2714</v>
      </c>
      <c r="J128" s="451" t="s">
        <v>2715</v>
      </c>
      <c r="K128" s="450" t="s">
        <v>2716</v>
      </c>
      <c r="L128" s="452" t="s">
        <v>2717</v>
      </c>
      <c r="M128" s="448" t="s">
        <v>2718</v>
      </c>
      <c r="N128" s="448" t="s">
        <v>2715</v>
      </c>
      <c r="O128" s="448" t="s">
        <v>2719</v>
      </c>
      <c r="P128" s="448" t="s">
        <v>2720</v>
      </c>
      <c r="Q128" s="448" t="s">
        <v>1464</v>
      </c>
      <c r="R128" s="453" t="s">
        <v>2721</v>
      </c>
      <c r="S128" s="448" t="s">
        <v>2722</v>
      </c>
      <c r="T128" s="448" t="s">
        <v>2723</v>
      </c>
      <c r="U128" s="448" t="s">
        <v>2724</v>
      </c>
      <c r="V128" s="448" t="s">
        <v>2725</v>
      </c>
    </row>
    <row r="129" spans="1:22" ht="14.25">
      <c r="A129" s="448">
        <v>129</v>
      </c>
      <c r="B129" s="448" t="str">
        <f t="shared" si="1"/>
        <v>Trad129</v>
      </c>
      <c r="C129" s="449" t="s">
        <v>2726</v>
      </c>
      <c r="D129" s="448" t="s">
        <v>2727</v>
      </c>
      <c r="E129" s="448" t="s">
        <v>2710</v>
      </c>
      <c r="F129" s="448" t="s">
        <v>2728</v>
      </c>
      <c r="G129" s="448" t="s">
        <v>2726</v>
      </c>
      <c r="H129" s="448" t="s">
        <v>2729</v>
      </c>
      <c r="I129" s="448" t="s">
        <v>2730</v>
      </c>
      <c r="J129" s="451" t="s">
        <v>2731</v>
      </c>
      <c r="K129" s="450" t="s">
        <v>2732</v>
      </c>
      <c r="L129" s="452" t="s">
        <v>2733</v>
      </c>
      <c r="M129" s="448" t="s">
        <v>2734</v>
      </c>
      <c r="N129" s="448" t="s">
        <v>2731</v>
      </c>
      <c r="O129" s="448" t="s">
        <v>2735</v>
      </c>
      <c r="P129" s="448" t="s">
        <v>2731</v>
      </c>
      <c r="Q129" s="448" t="s">
        <v>2731</v>
      </c>
      <c r="R129" s="453" t="s">
        <v>2736</v>
      </c>
      <c r="S129" s="448" t="s">
        <v>2731</v>
      </c>
      <c r="T129" s="448" t="s">
        <v>2737</v>
      </c>
      <c r="U129" s="448" t="s">
        <v>2738</v>
      </c>
      <c r="V129" s="448" t="s">
        <v>2739</v>
      </c>
    </row>
    <row r="130" spans="1:22" ht="14.25">
      <c r="A130" s="448">
        <v>130</v>
      </c>
      <c r="B130" s="448" t="str">
        <f t="shared" ref="B130:B193" si="2">+_xlfn.CONCAT("Trad",A130)</f>
        <v>Trad130</v>
      </c>
      <c r="C130" s="449" t="s">
        <v>2740</v>
      </c>
      <c r="D130" s="450" t="s">
        <v>2741</v>
      </c>
      <c r="E130" s="448" t="s">
        <v>2742</v>
      </c>
      <c r="F130" s="448" t="s">
        <v>2743</v>
      </c>
      <c r="G130" s="448" t="s">
        <v>2744</v>
      </c>
      <c r="H130" s="448" t="s">
        <v>2745</v>
      </c>
      <c r="I130" s="448" t="s">
        <v>2746</v>
      </c>
      <c r="J130" s="451" t="s">
        <v>2747</v>
      </c>
      <c r="K130" s="450" t="s">
        <v>2748</v>
      </c>
      <c r="L130" s="452" t="s">
        <v>2749</v>
      </c>
      <c r="M130" s="448" t="s">
        <v>2750</v>
      </c>
      <c r="N130" s="448" t="s">
        <v>2740</v>
      </c>
      <c r="O130" s="448" t="s">
        <v>2751</v>
      </c>
      <c r="P130" s="448" t="s">
        <v>2752</v>
      </c>
      <c r="Q130" s="448" t="s">
        <v>2753</v>
      </c>
      <c r="R130" s="453" t="s">
        <v>2754</v>
      </c>
      <c r="S130" s="448" t="s">
        <v>2755</v>
      </c>
      <c r="T130" s="448" t="s">
        <v>2756</v>
      </c>
      <c r="U130" s="448" t="s">
        <v>2757</v>
      </c>
      <c r="V130" s="448" t="s">
        <v>2758</v>
      </c>
    </row>
    <row r="131" spans="1:22" ht="14.25">
      <c r="A131" s="448">
        <v>131</v>
      </c>
      <c r="B131" s="448" t="str">
        <f t="shared" si="2"/>
        <v>Trad131</v>
      </c>
      <c r="C131" s="449" t="s">
        <v>2759</v>
      </c>
      <c r="D131" s="448" t="s">
        <v>2760</v>
      </c>
      <c r="E131" s="448" t="s">
        <v>2761</v>
      </c>
      <c r="F131" s="448" t="s">
        <v>2762</v>
      </c>
      <c r="G131" s="448" t="s">
        <v>2763</v>
      </c>
      <c r="H131" s="448" t="s">
        <v>2764</v>
      </c>
      <c r="I131" s="448" t="s">
        <v>2765</v>
      </c>
      <c r="J131" s="451" t="s">
        <v>2766</v>
      </c>
      <c r="K131" s="450" t="s">
        <v>2767</v>
      </c>
      <c r="L131" s="452" t="s">
        <v>2768</v>
      </c>
      <c r="M131" s="448" t="s">
        <v>2769</v>
      </c>
      <c r="N131" s="448" t="s">
        <v>2770</v>
      </c>
      <c r="O131" s="448" t="s">
        <v>2771</v>
      </c>
      <c r="P131" s="448" t="s">
        <v>2772</v>
      </c>
      <c r="Q131" s="448" t="s">
        <v>2773</v>
      </c>
      <c r="R131" s="453" t="s">
        <v>2774</v>
      </c>
      <c r="S131" s="448" t="s">
        <v>2775</v>
      </c>
      <c r="T131" s="448" t="s">
        <v>2776</v>
      </c>
      <c r="U131" s="448" t="s">
        <v>2777</v>
      </c>
      <c r="V131" s="448" t="s">
        <v>2778</v>
      </c>
    </row>
    <row r="132" spans="1:22" ht="14.25">
      <c r="A132" s="448">
        <v>132</v>
      </c>
      <c r="B132" s="448" t="str">
        <f t="shared" si="2"/>
        <v>Trad132</v>
      </c>
      <c r="C132" s="449" t="s">
        <v>2779</v>
      </c>
      <c r="D132" s="448" t="s">
        <v>2780</v>
      </c>
      <c r="E132" s="448" t="s">
        <v>2781</v>
      </c>
      <c r="F132" s="448" t="s">
        <v>2782</v>
      </c>
      <c r="G132" s="448" t="s">
        <v>2783</v>
      </c>
      <c r="H132" s="448" t="s">
        <v>2784</v>
      </c>
      <c r="I132" s="448" t="s">
        <v>2785</v>
      </c>
      <c r="J132" s="451" t="s">
        <v>2786</v>
      </c>
      <c r="K132" s="448" t="s">
        <v>2787</v>
      </c>
      <c r="L132" s="452" t="s">
        <v>2788</v>
      </c>
      <c r="M132" s="448" t="s">
        <v>2789</v>
      </c>
      <c r="N132" s="448" t="s">
        <v>2790</v>
      </c>
      <c r="O132" s="448" t="s">
        <v>2791</v>
      </c>
      <c r="P132" s="448" t="s">
        <v>2792</v>
      </c>
      <c r="Q132" s="448" t="s">
        <v>2782</v>
      </c>
      <c r="R132" s="453" t="s">
        <v>2793</v>
      </c>
      <c r="S132" s="448" t="s">
        <v>2794</v>
      </c>
      <c r="T132" s="448" t="s">
        <v>2795</v>
      </c>
      <c r="U132" s="448" t="s">
        <v>2796</v>
      </c>
      <c r="V132" s="448" t="s">
        <v>2797</v>
      </c>
    </row>
    <row r="133" spans="1:22" ht="14.25">
      <c r="A133" s="448">
        <v>133</v>
      </c>
      <c r="B133" s="448" t="str">
        <f t="shared" si="2"/>
        <v>Trad133</v>
      </c>
      <c r="C133" s="449" t="s">
        <v>2798</v>
      </c>
      <c r="D133" s="448" t="s">
        <v>2799</v>
      </c>
      <c r="E133" s="448" t="s">
        <v>2800</v>
      </c>
      <c r="F133" s="448" t="s">
        <v>2801</v>
      </c>
      <c r="G133" s="448" t="s">
        <v>2802</v>
      </c>
      <c r="H133" s="448" t="s">
        <v>2803</v>
      </c>
      <c r="I133" s="448" t="s">
        <v>2804</v>
      </c>
      <c r="J133" s="451" t="s">
        <v>2805</v>
      </c>
      <c r="K133" s="450" t="s">
        <v>2806</v>
      </c>
      <c r="L133" s="452" t="s">
        <v>2807</v>
      </c>
      <c r="M133" s="448" t="s">
        <v>2808</v>
      </c>
      <c r="N133" s="448" t="s">
        <v>2809</v>
      </c>
      <c r="O133" s="448" t="s">
        <v>2810</v>
      </c>
      <c r="P133" s="448" t="s">
        <v>2799</v>
      </c>
      <c r="Q133" s="448" t="s">
        <v>2811</v>
      </c>
      <c r="R133" s="453" t="s">
        <v>2812</v>
      </c>
      <c r="S133" s="448" t="s">
        <v>2813</v>
      </c>
      <c r="T133" s="448" t="s">
        <v>2814</v>
      </c>
      <c r="U133" s="448" t="s">
        <v>2815</v>
      </c>
      <c r="V133" s="448" t="s">
        <v>2816</v>
      </c>
    </row>
    <row r="134" spans="1:22" ht="14.25">
      <c r="A134" s="448">
        <v>134</v>
      </c>
      <c r="B134" s="448" t="str">
        <f t="shared" si="2"/>
        <v>Trad134</v>
      </c>
      <c r="C134" s="449" t="s">
        <v>2817</v>
      </c>
      <c r="D134" s="448" t="s">
        <v>2818</v>
      </c>
      <c r="E134" s="448" t="s">
        <v>2819</v>
      </c>
      <c r="F134" s="455" t="s">
        <v>2820</v>
      </c>
      <c r="G134" s="448" t="s">
        <v>2821</v>
      </c>
      <c r="H134" s="448" t="s">
        <v>2822</v>
      </c>
      <c r="I134" s="448" t="s">
        <v>2823</v>
      </c>
      <c r="J134" s="451" t="s">
        <v>2824</v>
      </c>
      <c r="K134" s="450" t="s">
        <v>2825</v>
      </c>
      <c r="L134" s="452" t="s">
        <v>2826</v>
      </c>
      <c r="M134" s="448" t="s">
        <v>2827</v>
      </c>
      <c r="N134" s="448" t="s">
        <v>2828</v>
      </c>
      <c r="O134" s="448" t="s">
        <v>2829</v>
      </c>
      <c r="P134" s="448" t="s">
        <v>2830</v>
      </c>
      <c r="Q134" s="448" t="s">
        <v>2831</v>
      </c>
      <c r="R134" s="453" t="s">
        <v>2827</v>
      </c>
      <c r="S134" s="448" t="s">
        <v>2832</v>
      </c>
      <c r="T134" s="448" t="s">
        <v>2833</v>
      </c>
      <c r="U134" s="448" t="s">
        <v>2834</v>
      </c>
      <c r="V134" s="448" t="s">
        <v>2835</v>
      </c>
    </row>
    <row r="135" spans="1:22" ht="14.25">
      <c r="A135" s="448">
        <v>135</v>
      </c>
      <c r="B135" s="448" t="str">
        <f t="shared" si="2"/>
        <v>Trad135</v>
      </c>
      <c r="C135" s="449" t="s">
        <v>2836</v>
      </c>
      <c r="D135" s="448" t="s">
        <v>2837</v>
      </c>
      <c r="E135" s="448" t="s">
        <v>2838</v>
      </c>
      <c r="F135" s="455" t="s">
        <v>2836</v>
      </c>
      <c r="G135" s="448" t="s">
        <v>2839</v>
      </c>
      <c r="H135" s="448" t="s">
        <v>2840</v>
      </c>
      <c r="I135" s="448" t="s">
        <v>2841</v>
      </c>
      <c r="J135" s="451" t="s">
        <v>2839</v>
      </c>
      <c r="K135" s="450" t="s">
        <v>2842</v>
      </c>
      <c r="L135" s="452" t="s">
        <v>2843</v>
      </c>
      <c r="M135" s="448" t="s">
        <v>2839</v>
      </c>
      <c r="N135" s="448" t="s">
        <v>2844</v>
      </c>
      <c r="O135" s="448" t="s">
        <v>2845</v>
      </c>
      <c r="P135" s="448" t="s">
        <v>2846</v>
      </c>
      <c r="Q135" s="448" t="s">
        <v>2836</v>
      </c>
      <c r="R135" s="453" t="s">
        <v>2847</v>
      </c>
      <c r="S135" s="448" t="s">
        <v>2848</v>
      </c>
      <c r="T135" s="448" t="s">
        <v>2849</v>
      </c>
      <c r="U135" s="448" t="s">
        <v>2850</v>
      </c>
      <c r="V135" s="448" t="s">
        <v>2851</v>
      </c>
    </row>
    <row r="136" spans="1:22" ht="14.25">
      <c r="A136" s="448">
        <v>136</v>
      </c>
      <c r="B136" s="448" t="str">
        <f t="shared" si="2"/>
        <v>Trad136</v>
      </c>
      <c r="C136" s="449" t="s">
        <v>2852</v>
      </c>
      <c r="D136" s="448" t="s">
        <v>2853</v>
      </c>
      <c r="E136" s="448" t="s">
        <v>2854</v>
      </c>
      <c r="F136" s="448" t="s">
        <v>2852</v>
      </c>
      <c r="G136" s="448" t="s">
        <v>2855</v>
      </c>
      <c r="H136" s="448" t="s">
        <v>2856</v>
      </c>
      <c r="I136" s="448" t="s">
        <v>2857</v>
      </c>
      <c r="J136" s="451" t="s">
        <v>2855</v>
      </c>
      <c r="K136" s="450" t="s">
        <v>2842</v>
      </c>
      <c r="L136" s="452" t="s">
        <v>2858</v>
      </c>
      <c r="M136" s="448" t="s">
        <v>2855</v>
      </c>
      <c r="N136" s="448" t="s">
        <v>2859</v>
      </c>
      <c r="O136" s="448" t="s">
        <v>2860</v>
      </c>
      <c r="P136" s="448" t="s">
        <v>2861</v>
      </c>
      <c r="Q136" s="448" t="s">
        <v>2852</v>
      </c>
      <c r="R136" s="453" t="s">
        <v>2862</v>
      </c>
      <c r="S136" s="448" t="s">
        <v>2855</v>
      </c>
      <c r="T136" s="448" t="s">
        <v>2863</v>
      </c>
      <c r="U136" s="448" t="s">
        <v>2864</v>
      </c>
      <c r="V136" s="448" t="s">
        <v>2865</v>
      </c>
    </row>
    <row r="137" spans="1:22" ht="14.25">
      <c r="A137" s="448">
        <v>137</v>
      </c>
      <c r="B137" s="448" t="str">
        <f t="shared" si="2"/>
        <v>Trad137</v>
      </c>
      <c r="C137" s="449" t="s">
        <v>2866</v>
      </c>
      <c r="D137" s="448" t="s">
        <v>2867</v>
      </c>
      <c r="E137" s="448" t="s">
        <v>2868</v>
      </c>
      <c r="F137" s="448" t="s">
        <v>2867</v>
      </c>
      <c r="G137" s="448" t="s">
        <v>2869</v>
      </c>
      <c r="H137" s="448" t="s">
        <v>2870</v>
      </c>
      <c r="I137" s="448" t="s">
        <v>2871</v>
      </c>
      <c r="J137" s="451" t="s">
        <v>2872</v>
      </c>
      <c r="K137" s="450" t="s">
        <v>2873</v>
      </c>
      <c r="L137" s="452" t="s">
        <v>2874</v>
      </c>
      <c r="M137" s="448" t="s">
        <v>2875</v>
      </c>
      <c r="N137" s="448" t="s">
        <v>2876</v>
      </c>
      <c r="O137" s="448" t="s">
        <v>2877</v>
      </c>
      <c r="P137" s="448" t="s">
        <v>2867</v>
      </c>
      <c r="Q137" s="448" t="s">
        <v>2878</v>
      </c>
      <c r="R137" s="453" t="s">
        <v>2879</v>
      </c>
      <c r="S137" s="448" t="s">
        <v>2880</v>
      </c>
      <c r="T137" s="448" t="s">
        <v>2881</v>
      </c>
      <c r="U137" s="448" t="s">
        <v>2882</v>
      </c>
      <c r="V137" s="448" t="s">
        <v>2883</v>
      </c>
    </row>
    <row r="138" spans="1:22" ht="14.25">
      <c r="A138" s="448">
        <v>138</v>
      </c>
      <c r="B138" s="448" t="str">
        <f t="shared" si="2"/>
        <v>Trad138</v>
      </c>
      <c r="C138" s="449" t="s">
        <v>2884</v>
      </c>
      <c r="D138" s="448" t="s">
        <v>2885</v>
      </c>
      <c r="E138" s="448" t="s">
        <v>2886</v>
      </c>
      <c r="F138" s="448" t="s">
        <v>2887</v>
      </c>
      <c r="G138" s="448" t="s">
        <v>2888</v>
      </c>
      <c r="H138" s="448" t="s">
        <v>2889</v>
      </c>
      <c r="I138" s="448" t="s">
        <v>2890</v>
      </c>
      <c r="J138" s="451" t="s">
        <v>2891</v>
      </c>
      <c r="K138" s="450" t="s">
        <v>2892</v>
      </c>
      <c r="L138" s="452" t="s">
        <v>2893</v>
      </c>
      <c r="M138" s="448" t="s">
        <v>2894</v>
      </c>
      <c r="N138" s="448" t="s">
        <v>2895</v>
      </c>
      <c r="O138" s="448" t="s">
        <v>2896</v>
      </c>
      <c r="P138" s="448" t="s">
        <v>2887</v>
      </c>
      <c r="Q138" s="448" t="s">
        <v>2887</v>
      </c>
      <c r="R138" s="453" t="s">
        <v>2897</v>
      </c>
      <c r="S138" s="448" t="s">
        <v>2898</v>
      </c>
      <c r="T138" s="448" t="s">
        <v>2899</v>
      </c>
      <c r="U138" s="448" t="s">
        <v>2900</v>
      </c>
      <c r="V138" s="448" t="s">
        <v>2901</v>
      </c>
    </row>
    <row r="139" spans="1:22" ht="14.25">
      <c r="A139" s="448">
        <v>139</v>
      </c>
      <c r="B139" s="448" t="str">
        <f t="shared" si="2"/>
        <v>Trad139</v>
      </c>
      <c r="C139" s="449" t="s">
        <v>2902</v>
      </c>
      <c r="D139" s="448" t="s">
        <v>2903</v>
      </c>
      <c r="E139" s="448" t="s">
        <v>2904</v>
      </c>
      <c r="F139" s="448" t="s">
        <v>2905</v>
      </c>
      <c r="G139" s="448" t="s">
        <v>2906</v>
      </c>
      <c r="H139" s="448" t="s">
        <v>2907</v>
      </c>
      <c r="I139" s="448" t="s">
        <v>2908</v>
      </c>
      <c r="J139" s="451" t="s">
        <v>2909</v>
      </c>
      <c r="K139" s="450" t="s">
        <v>2910</v>
      </c>
      <c r="L139" s="452" t="s">
        <v>2911</v>
      </c>
      <c r="M139" s="448" t="s">
        <v>2912</v>
      </c>
      <c r="N139" s="448" t="s">
        <v>2913</v>
      </c>
      <c r="O139" s="448" t="s">
        <v>2914</v>
      </c>
      <c r="P139" s="448" t="s">
        <v>2905</v>
      </c>
      <c r="Q139" s="448" t="s">
        <v>2905</v>
      </c>
      <c r="R139" s="453" t="s">
        <v>2915</v>
      </c>
      <c r="S139" s="448" t="s">
        <v>2916</v>
      </c>
      <c r="T139" s="448" t="s">
        <v>2917</v>
      </c>
      <c r="U139" s="448" t="s">
        <v>2918</v>
      </c>
      <c r="V139" s="448" t="s">
        <v>2919</v>
      </c>
    </row>
    <row r="140" spans="1:22" ht="14.25">
      <c r="A140" s="448">
        <v>140</v>
      </c>
      <c r="B140" s="448" t="str">
        <f t="shared" si="2"/>
        <v>Trad140</v>
      </c>
      <c r="C140" s="449" t="s">
        <v>1519</v>
      </c>
      <c r="D140" s="448" t="s">
        <v>2920</v>
      </c>
      <c r="E140" s="448" t="s">
        <v>2921</v>
      </c>
      <c r="F140" s="448" t="s">
        <v>2922</v>
      </c>
      <c r="G140" s="448" t="s">
        <v>1523</v>
      </c>
      <c r="H140" s="448" t="s">
        <v>1524</v>
      </c>
      <c r="I140" s="448" t="s">
        <v>1525</v>
      </c>
      <c r="J140" s="451" t="s">
        <v>2923</v>
      </c>
      <c r="K140" s="450" t="s">
        <v>2924</v>
      </c>
      <c r="L140" s="452" t="s">
        <v>1528</v>
      </c>
      <c r="M140" s="448" t="s">
        <v>2925</v>
      </c>
      <c r="N140" s="448" t="s">
        <v>1530</v>
      </c>
      <c r="O140" s="448" t="s">
        <v>2926</v>
      </c>
      <c r="P140" s="448" t="s">
        <v>873</v>
      </c>
      <c r="Q140" s="448" t="s">
        <v>2927</v>
      </c>
      <c r="R140" s="453" t="s">
        <v>1533</v>
      </c>
      <c r="S140" s="448" t="s">
        <v>2928</v>
      </c>
      <c r="T140" s="448" t="s">
        <v>1535</v>
      </c>
      <c r="U140" s="448" t="s">
        <v>2929</v>
      </c>
      <c r="V140" s="448" t="s">
        <v>1537</v>
      </c>
    </row>
    <row r="141" spans="1:22" ht="14.25">
      <c r="A141" s="448">
        <v>141</v>
      </c>
      <c r="B141" s="448" t="str">
        <f t="shared" si="2"/>
        <v>Trad141</v>
      </c>
      <c r="C141" s="449" t="s">
        <v>2930</v>
      </c>
      <c r="D141" s="448" t="s">
        <v>2931</v>
      </c>
      <c r="E141" s="448" t="s">
        <v>2932</v>
      </c>
      <c r="F141" s="448" t="s">
        <v>2933</v>
      </c>
      <c r="G141" s="448" t="s">
        <v>2934</v>
      </c>
      <c r="H141" s="448" t="s">
        <v>2935</v>
      </c>
      <c r="I141" s="448" t="s">
        <v>2936</v>
      </c>
      <c r="J141" s="451" t="s">
        <v>2937</v>
      </c>
      <c r="K141" s="450" t="s">
        <v>2938</v>
      </c>
      <c r="L141" s="452" t="s">
        <v>2939</v>
      </c>
      <c r="M141" s="448" t="s">
        <v>2940</v>
      </c>
      <c r="N141" s="448" t="s">
        <v>2941</v>
      </c>
      <c r="O141" s="448" t="s">
        <v>2942</v>
      </c>
      <c r="P141" s="448" t="s">
        <v>2943</v>
      </c>
      <c r="Q141" s="448" t="s">
        <v>2944</v>
      </c>
      <c r="R141" s="453" t="s">
        <v>2945</v>
      </c>
      <c r="S141" s="448" t="s">
        <v>2946</v>
      </c>
      <c r="T141" s="448" t="s">
        <v>2947</v>
      </c>
      <c r="U141" s="448" t="s">
        <v>2948</v>
      </c>
      <c r="V141" s="448" t="s">
        <v>2949</v>
      </c>
    </row>
    <row r="142" spans="1:22" ht="14.25">
      <c r="A142" s="448">
        <v>142</v>
      </c>
      <c r="B142" s="448" t="str">
        <f t="shared" si="2"/>
        <v>Trad142</v>
      </c>
      <c r="C142" s="449" t="s">
        <v>2950</v>
      </c>
      <c r="D142" s="448" t="s">
        <v>2951</v>
      </c>
      <c r="E142" s="448" t="s">
        <v>2952</v>
      </c>
      <c r="F142" s="448" t="s">
        <v>2953</v>
      </c>
      <c r="G142" s="448" t="s">
        <v>2954</v>
      </c>
      <c r="H142" s="448" t="s">
        <v>2955</v>
      </c>
      <c r="I142" s="448" t="s">
        <v>2956</v>
      </c>
      <c r="J142" s="456" t="s">
        <v>2957</v>
      </c>
      <c r="K142" s="457" t="s">
        <v>2958</v>
      </c>
      <c r="L142" s="452" t="s">
        <v>2959</v>
      </c>
      <c r="M142" s="448" t="s">
        <v>2960</v>
      </c>
      <c r="N142" s="448" t="s">
        <v>2961</v>
      </c>
      <c r="O142" s="448" t="s">
        <v>2962</v>
      </c>
      <c r="P142" s="448" t="s">
        <v>2963</v>
      </c>
      <c r="Q142" s="448" t="s">
        <v>2964</v>
      </c>
      <c r="R142" s="453" t="s">
        <v>2965</v>
      </c>
      <c r="S142" s="448" t="s">
        <v>2966</v>
      </c>
      <c r="T142" s="448" t="s">
        <v>2967</v>
      </c>
      <c r="U142" s="448" t="s">
        <v>2968</v>
      </c>
      <c r="V142" s="448" t="s">
        <v>2969</v>
      </c>
    </row>
    <row r="143" spans="1:22" ht="14.25">
      <c r="A143" s="448">
        <v>143</v>
      </c>
      <c r="B143" s="448" t="str">
        <f t="shared" si="2"/>
        <v>Trad143</v>
      </c>
      <c r="C143" s="449" t="s">
        <v>2970</v>
      </c>
      <c r="D143" s="448" t="s">
        <v>2971</v>
      </c>
      <c r="E143" s="448" t="s">
        <v>2972</v>
      </c>
      <c r="F143" s="448" t="s">
        <v>2973</v>
      </c>
      <c r="G143" s="448" t="s">
        <v>2974</v>
      </c>
      <c r="H143" s="448" t="s">
        <v>2975</v>
      </c>
      <c r="I143" s="448" t="s">
        <v>2976</v>
      </c>
      <c r="J143" s="456" t="s">
        <v>2977</v>
      </c>
      <c r="K143" s="457" t="s">
        <v>2978</v>
      </c>
      <c r="L143" s="452" t="s">
        <v>2979</v>
      </c>
      <c r="M143" s="448" t="s">
        <v>2980</v>
      </c>
      <c r="N143" s="448" t="s">
        <v>2981</v>
      </c>
      <c r="O143" s="448" t="s">
        <v>2982</v>
      </c>
      <c r="P143" s="448" t="s">
        <v>2983</v>
      </c>
      <c r="Q143" s="448" t="s">
        <v>2984</v>
      </c>
      <c r="R143" s="453" t="s">
        <v>2985</v>
      </c>
      <c r="S143" s="448" t="s">
        <v>2981</v>
      </c>
      <c r="T143" s="448" t="s">
        <v>2986</v>
      </c>
      <c r="U143" s="448" t="s">
        <v>2987</v>
      </c>
      <c r="V143" s="448" t="s">
        <v>2988</v>
      </c>
    </row>
    <row r="144" spans="1:22" ht="14.25">
      <c r="A144" s="448">
        <v>144</v>
      </c>
      <c r="B144" s="448" t="str">
        <f t="shared" si="2"/>
        <v>Trad144</v>
      </c>
      <c r="C144" s="449" t="s">
        <v>2989</v>
      </c>
      <c r="D144" s="448" t="s">
        <v>2990</v>
      </c>
      <c r="E144" s="448" t="s">
        <v>2991</v>
      </c>
      <c r="F144" s="448" t="s">
        <v>2992</v>
      </c>
      <c r="G144" s="448" t="s">
        <v>2993</v>
      </c>
      <c r="H144" s="448" t="s">
        <v>2994</v>
      </c>
      <c r="I144" s="448" t="s">
        <v>2995</v>
      </c>
      <c r="J144" s="456" t="s">
        <v>2996</v>
      </c>
      <c r="K144" s="457" t="s">
        <v>2997</v>
      </c>
      <c r="L144" s="452" t="s">
        <v>2998</v>
      </c>
      <c r="M144" s="448" t="s">
        <v>2999</v>
      </c>
      <c r="N144" s="448" t="s">
        <v>3000</v>
      </c>
      <c r="O144" s="448" t="s">
        <v>3001</v>
      </c>
      <c r="P144" s="448" t="s">
        <v>3002</v>
      </c>
      <c r="Q144" s="448" t="s">
        <v>3003</v>
      </c>
      <c r="R144" s="453" t="s">
        <v>2999</v>
      </c>
      <c r="S144" s="448" t="s">
        <v>3004</v>
      </c>
      <c r="T144" s="448" t="s">
        <v>3005</v>
      </c>
      <c r="U144" s="448" t="s">
        <v>3006</v>
      </c>
      <c r="V144" s="448" t="s">
        <v>3007</v>
      </c>
    </row>
    <row r="145" spans="1:22" ht="14.25">
      <c r="A145" s="448">
        <v>145</v>
      </c>
      <c r="B145" s="448" t="str">
        <f t="shared" si="2"/>
        <v>Trad145</v>
      </c>
      <c r="C145" s="449" t="s">
        <v>3008</v>
      </c>
      <c r="D145" s="448" t="s">
        <v>3009</v>
      </c>
      <c r="E145" s="448" t="s">
        <v>3010</v>
      </c>
      <c r="F145" s="448" t="s">
        <v>3011</v>
      </c>
      <c r="G145" s="448" t="s">
        <v>3012</v>
      </c>
      <c r="H145" s="448" t="s">
        <v>3013</v>
      </c>
      <c r="I145" s="448" t="s">
        <v>3014</v>
      </c>
      <c r="J145" s="456" t="s">
        <v>3015</v>
      </c>
      <c r="K145" s="457" t="s">
        <v>3016</v>
      </c>
      <c r="L145" s="452" t="s">
        <v>3017</v>
      </c>
      <c r="M145" s="448" t="s">
        <v>3018</v>
      </c>
      <c r="N145" s="448" t="s">
        <v>3015</v>
      </c>
      <c r="O145" s="448" t="s">
        <v>3019</v>
      </c>
      <c r="P145" s="448" t="s">
        <v>3015</v>
      </c>
      <c r="Q145" s="448" t="s">
        <v>3020</v>
      </c>
      <c r="R145" s="453" t="s">
        <v>3021</v>
      </c>
      <c r="S145" s="448" t="s">
        <v>3015</v>
      </c>
      <c r="T145" s="448" t="s">
        <v>3022</v>
      </c>
      <c r="U145" s="448" t="s">
        <v>3023</v>
      </c>
      <c r="V145" s="448" t="s">
        <v>3024</v>
      </c>
    </row>
    <row r="146" spans="1:22" ht="14.25">
      <c r="A146" s="448">
        <v>146</v>
      </c>
      <c r="B146" s="448" t="str">
        <f t="shared" si="2"/>
        <v>Trad146</v>
      </c>
      <c r="C146" s="458" t="s">
        <v>3025</v>
      </c>
      <c r="D146" s="448" t="s">
        <v>3026</v>
      </c>
      <c r="E146" s="448" t="s">
        <v>3027</v>
      </c>
      <c r="F146" s="448" t="s">
        <v>3028</v>
      </c>
      <c r="G146" s="448" t="s">
        <v>3029</v>
      </c>
      <c r="H146" s="448" t="s">
        <v>3030</v>
      </c>
      <c r="I146" s="448" t="s">
        <v>3031</v>
      </c>
      <c r="J146" s="456" t="s">
        <v>3032</v>
      </c>
      <c r="K146" s="457" t="s">
        <v>3033</v>
      </c>
      <c r="L146" s="452" t="s">
        <v>3034</v>
      </c>
      <c r="M146" s="448" t="s">
        <v>3035</v>
      </c>
      <c r="N146" s="448" t="s">
        <v>3036</v>
      </c>
      <c r="O146" s="448" t="s">
        <v>3037</v>
      </c>
      <c r="P146" s="448" t="s">
        <v>3038</v>
      </c>
      <c r="Q146" s="448" t="s">
        <v>3039</v>
      </c>
      <c r="R146" s="453" t="s">
        <v>3040</v>
      </c>
      <c r="S146" s="448" t="s">
        <v>3041</v>
      </c>
      <c r="T146" s="448" t="s">
        <v>3042</v>
      </c>
      <c r="U146" s="448" t="s">
        <v>3043</v>
      </c>
      <c r="V146" s="448" t="s">
        <v>3044</v>
      </c>
    </row>
    <row r="147" spans="1:22" ht="14.25">
      <c r="A147" s="448">
        <v>147</v>
      </c>
      <c r="B147" s="448" t="str">
        <f t="shared" si="2"/>
        <v>Trad147</v>
      </c>
      <c r="C147" s="458" t="s">
        <v>447</v>
      </c>
      <c r="D147" s="448" t="s">
        <v>448</v>
      </c>
      <c r="E147" s="448" t="s">
        <v>449</v>
      </c>
      <c r="F147" s="448" t="s">
        <v>450</v>
      </c>
      <c r="G147" s="448" t="s">
        <v>451</v>
      </c>
      <c r="H147" s="448" t="s">
        <v>452</v>
      </c>
      <c r="I147" s="448" t="s">
        <v>453</v>
      </c>
      <c r="J147" s="456" t="s">
        <v>454</v>
      </c>
      <c r="K147" s="459" t="s">
        <v>455</v>
      </c>
      <c r="L147" s="452" t="s">
        <v>456</v>
      </c>
      <c r="M147" s="448" t="s">
        <v>457</v>
      </c>
      <c r="N147" s="448" t="s">
        <v>458</v>
      </c>
      <c r="O147" s="448" t="s">
        <v>459</v>
      </c>
      <c r="P147" s="448" t="s">
        <v>448</v>
      </c>
      <c r="Q147" s="448" t="s">
        <v>450</v>
      </c>
      <c r="R147" s="453" t="s">
        <v>457</v>
      </c>
      <c r="S147" s="448" t="s">
        <v>460</v>
      </c>
      <c r="T147" s="448" t="s">
        <v>461</v>
      </c>
      <c r="U147" s="448" t="s">
        <v>462</v>
      </c>
      <c r="V147" s="448" t="s">
        <v>463</v>
      </c>
    </row>
    <row r="148" spans="1:22" ht="14.25">
      <c r="A148" s="448">
        <v>148</v>
      </c>
      <c r="B148" s="448" t="str">
        <f t="shared" si="2"/>
        <v>Trad148</v>
      </c>
      <c r="C148" s="458" t="s">
        <v>3045</v>
      </c>
      <c r="D148" s="448" t="s">
        <v>3046</v>
      </c>
      <c r="E148" s="448" t="s">
        <v>3047</v>
      </c>
      <c r="F148" s="448" t="s">
        <v>3048</v>
      </c>
      <c r="G148" s="448" t="s">
        <v>3049</v>
      </c>
      <c r="H148" s="448" t="s">
        <v>3050</v>
      </c>
      <c r="I148" s="448" t="s">
        <v>3051</v>
      </c>
      <c r="J148" s="456" t="s">
        <v>3052</v>
      </c>
      <c r="K148" s="457" t="s">
        <v>3053</v>
      </c>
      <c r="L148" s="452" t="s">
        <v>3054</v>
      </c>
      <c r="M148" s="448" t="s">
        <v>3055</v>
      </c>
      <c r="N148" s="448" t="s">
        <v>3052</v>
      </c>
      <c r="O148" s="448" t="s">
        <v>3056</v>
      </c>
      <c r="P148" s="448" t="s">
        <v>3052</v>
      </c>
      <c r="Q148" s="448" t="s">
        <v>3057</v>
      </c>
      <c r="R148" s="453" t="s">
        <v>3045</v>
      </c>
      <c r="S148" s="448" t="s">
        <v>3058</v>
      </c>
      <c r="T148" s="448" t="s">
        <v>3059</v>
      </c>
      <c r="U148" s="448" t="s">
        <v>3060</v>
      </c>
      <c r="V148" s="448" t="s">
        <v>3061</v>
      </c>
    </row>
    <row r="149" spans="1:22" ht="14.25">
      <c r="A149" s="448">
        <v>149</v>
      </c>
      <c r="B149" s="448" t="str">
        <f t="shared" si="2"/>
        <v>Trad149</v>
      </c>
      <c r="C149" s="458" t="s">
        <v>3062</v>
      </c>
      <c r="D149" s="448" t="s">
        <v>3063</v>
      </c>
      <c r="E149" s="448" t="s">
        <v>3064</v>
      </c>
      <c r="F149" s="448" t="s">
        <v>3065</v>
      </c>
      <c r="G149" s="448" t="s">
        <v>3066</v>
      </c>
      <c r="H149" s="448" t="s">
        <v>2972</v>
      </c>
      <c r="I149" s="448" t="s">
        <v>3067</v>
      </c>
      <c r="J149" s="456" t="s">
        <v>3068</v>
      </c>
      <c r="K149" s="457" t="s">
        <v>3069</v>
      </c>
      <c r="L149" s="452" t="s">
        <v>3070</v>
      </c>
      <c r="M149" s="448" t="s">
        <v>3062</v>
      </c>
      <c r="N149" s="448" t="s">
        <v>3071</v>
      </c>
      <c r="O149" s="448" t="s">
        <v>3072</v>
      </c>
      <c r="P149" s="448" t="s">
        <v>3073</v>
      </c>
      <c r="Q149" s="448" t="s">
        <v>3074</v>
      </c>
      <c r="R149" s="453" t="s">
        <v>3075</v>
      </c>
      <c r="S149" s="448" t="s">
        <v>3076</v>
      </c>
      <c r="T149" s="448" t="s">
        <v>3077</v>
      </c>
      <c r="U149" s="448" t="s">
        <v>3078</v>
      </c>
      <c r="V149" s="448" t="s">
        <v>3079</v>
      </c>
    </row>
    <row r="150" spans="1:22" ht="14.25">
      <c r="A150" s="448">
        <v>150</v>
      </c>
      <c r="B150" s="448" t="str">
        <f t="shared" si="2"/>
        <v>Trad150</v>
      </c>
      <c r="C150" s="458" t="s">
        <v>3080</v>
      </c>
      <c r="D150" s="448" t="s">
        <v>3081</v>
      </c>
      <c r="E150" s="448" t="s">
        <v>3082</v>
      </c>
      <c r="F150" s="448" t="s">
        <v>3083</v>
      </c>
      <c r="G150" s="448" t="s">
        <v>2974</v>
      </c>
      <c r="H150" s="448" t="s">
        <v>2975</v>
      </c>
      <c r="I150" s="448" t="s">
        <v>3084</v>
      </c>
      <c r="J150" s="456" t="s">
        <v>2977</v>
      </c>
      <c r="K150" s="457" t="s">
        <v>2978</v>
      </c>
      <c r="L150" s="452" t="s">
        <v>3085</v>
      </c>
      <c r="M150" s="448" t="s">
        <v>3086</v>
      </c>
      <c r="N150" s="448" t="s">
        <v>3087</v>
      </c>
      <c r="O150" s="448" t="s">
        <v>3088</v>
      </c>
      <c r="P150" s="448" t="s">
        <v>3089</v>
      </c>
      <c r="Q150" s="448" t="s">
        <v>3090</v>
      </c>
      <c r="R150" s="453" t="s">
        <v>3091</v>
      </c>
      <c r="S150" s="448" t="s">
        <v>3092</v>
      </c>
      <c r="T150" s="448" t="s">
        <v>2986</v>
      </c>
      <c r="U150" s="448" t="s">
        <v>3093</v>
      </c>
      <c r="V150" s="448" t="s">
        <v>2988</v>
      </c>
    </row>
    <row r="151" spans="1:22" ht="14.25">
      <c r="A151" s="448">
        <v>151</v>
      </c>
      <c r="B151" s="448" t="str">
        <f t="shared" si="2"/>
        <v>Trad151</v>
      </c>
      <c r="C151" s="458" t="s">
        <v>3094</v>
      </c>
      <c r="D151" s="448" t="s">
        <v>3095</v>
      </c>
      <c r="E151" s="448" t="s">
        <v>3096</v>
      </c>
      <c r="F151" s="448" t="s">
        <v>3097</v>
      </c>
      <c r="G151" s="448" t="s">
        <v>3098</v>
      </c>
      <c r="H151" s="448" t="s">
        <v>3099</v>
      </c>
      <c r="I151" s="448" t="s">
        <v>3100</v>
      </c>
      <c r="J151" s="456" t="s">
        <v>3101</v>
      </c>
      <c r="K151" s="457" t="s">
        <v>3102</v>
      </c>
      <c r="L151" s="452" t="s">
        <v>3103</v>
      </c>
      <c r="M151" s="448" t="s">
        <v>3104</v>
      </c>
      <c r="N151" s="448" t="s">
        <v>3105</v>
      </c>
      <c r="O151" s="448" t="s">
        <v>3106</v>
      </c>
      <c r="P151" s="448" t="s">
        <v>3107</v>
      </c>
      <c r="Q151" s="448" t="s">
        <v>3108</v>
      </c>
      <c r="R151" s="453" t="s">
        <v>3109</v>
      </c>
      <c r="S151" s="448" t="s">
        <v>3110</v>
      </c>
      <c r="T151" s="448" t="s">
        <v>3111</v>
      </c>
      <c r="U151" s="448" t="s">
        <v>3112</v>
      </c>
      <c r="V151" s="448" t="s">
        <v>3113</v>
      </c>
    </row>
    <row r="152" spans="1:22" ht="14.25">
      <c r="A152" s="448">
        <v>152</v>
      </c>
      <c r="B152" s="448" t="str">
        <f t="shared" si="2"/>
        <v>Trad152</v>
      </c>
      <c r="C152" s="458" t="s">
        <v>3114</v>
      </c>
      <c r="D152" s="448" t="s">
        <v>3115</v>
      </c>
      <c r="E152" s="448" t="s">
        <v>3116</v>
      </c>
      <c r="F152" s="448" t="s">
        <v>3117</v>
      </c>
      <c r="G152" s="448" t="s">
        <v>3118</v>
      </c>
      <c r="H152" s="448" t="s">
        <v>3119</v>
      </c>
      <c r="I152" s="448" t="s">
        <v>3120</v>
      </c>
      <c r="J152" s="456" t="s">
        <v>3121</v>
      </c>
      <c r="K152" s="457" t="s">
        <v>3122</v>
      </c>
      <c r="L152" s="452" t="s">
        <v>3123</v>
      </c>
      <c r="M152" s="448" t="s">
        <v>3124</v>
      </c>
      <c r="N152" s="448" t="s">
        <v>3125</v>
      </c>
      <c r="O152" s="448" t="s">
        <v>3126</v>
      </c>
      <c r="P152" s="448" t="s">
        <v>3127</v>
      </c>
      <c r="Q152" s="448" t="s">
        <v>3128</v>
      </c>
      <c r="R152" s="453" t="s">
        <v>3129</v>
      </c>
      <c r="S152" s="448" t="s">
        <v>3130</v>
      </c>
      <c r="T152" s="448" t="s">
        <v>3131</v>
      </c>
      <c r="U152" s="448" t="s">
        <v>3132</v>
      </c>
      <c r="V152" s="448" t="s">
        <v>3133</v>
      </c>
    </row>
    <row r="153" spans="1:22" ht="14.25">
      <c r="A153" s="448">
        <v>153</v>
      </c>
      <c r="B153" s="448" t="str">
        <f t="shared" si="2"/>
        <v>Trad153</v>
      </c>
      <c r="C153" s="458" t="s">
        <v>3134</v>
      </c>
      <c r="D153" s="448" t="s">
        <v>3135</v>
      </c>
      <c r="E153" s="448" t="s">
        <v>3136</v>
      </c>
      <c r="F153" s="448" t="s">
        <v>3137</v>
      </c>
      <c r="G153" s="448" t="s">
        <v>3138</v>
      </c>
      <c r="H153" s="448" t="s">
        <v>3139</v>
      </c>
      <c r="I153" s="448" t="s">
        <v>3140</v>
      </c>
      <c r="J153" s="456" t="s">
        <v>3141</v>
      </c>
      <c r="K153" s="457" t="s">
        <v>3142</v>
      </c>
      <c r="L153" s="452" t="s">
        <v>3143</v>
      </c>
      <c r="M153" s="448" t="s">
        <v>3144</v>
      </c>
      <c r="N153" s="448" t="s">
        <v>3145</v>
      </c>
      <c r="O153" s="448" t="s">
        <v>3146</v>
      </c>
      <c r="P153" s="448" t="s">
        <v>3147</v>
      </c>
      <c r="Q153" s="448" t="s">
        <v>3148</v>
      </c>
      <c r="R153" s="453" t="s">
        <v>3149</v>
      </c>
      <c r="S153" s="448" t="s">
        <v>3150</v>
      </c>
      <c r="T153" s="448" t="s">
        <v>3151</v>
      </c>
      <c r="U153" s="448" t="s">
        <v>3152</v>
      </c>
      <c r="V153" s="448" t="s">
        <v>3153</v>
      </c>
    </row>
    <row r="154" spans="1:22" ht="14.25">
      <c r="A154" s="448">
        <v>154</v>
      </c>
      <c r="B154" s="448" t="str">
        <f t="shared" si="2"/>
        <v>Trad154</v>
      </c>
      <c r="C154" s="458" t="s">
        <v>3154</v>
      </c>
      <c r="D154" s="448" t="s">
        <v>3155</v>
      </c>
      <c r="E154" s="448" t="s">
        <v>3156</v>
      </c>
      <c r="F154" s="448" t="s">
        <v>3157</v>
      </c>
      <c r="G154" s="448" t="s">
        <v>3158</v>
      </c>
      <c r="H154" s="448" t="s">
        <v>3159</v>
      </c>
      <c r="I154" s="448" t="s">
        <v>3160</v>
      </c>
      <c r="J154" s="456" t="s">
        <v>3161</v>
      </c>
      <c r="K154" s="457" t="s">
        <v>3162</v>
      </c>
      <c r="L154" s="452" t="s">
        <v>3163</v>
      </c>
      <c r="M154" s="448" t="s">
        <v>3164</v>
      </c>
      <c r="N154" s="448" t="s">
        <v>3165</v>
      </c>
      <c r="O154" s="448" t="s">
        <v>3166</v>
      </c>
      <c r="P154" s="448" t="s">
        <v>3167</v>
      </c>
      <c r="Q154" s="448" t="s">
        <v>3168</v>
      </c>
      <c r="R154" s="453" t="s">
        <v>3169</v>
      </c>
      <c r="S154" s="448" t="s">
        <v>3170</v>
      </c>
      <c r="T154" s="448" t="s">
        <v>3171</v>
      </c>
      <c r="U154" s="448" t="s">
        <v>3172</v>
      </c>
      <c r="V154" s="448" t="s">
        <v>3173</v>
      </c>
    </row>
    <row r="155" spans="1:22" ht="14.25">
      <c r="A155" s="448">
        <v>155</v>
      </c>
      <c r="B155" s="448" t="str">
        <f t="shared" si="2"/>
        <v>Trad155</v>
      </c>
      <c r="C155" s="458" t="s">
        <v>3174</v>
      </c>
      <c r="D155" s="448" t="s">
        <v>3175</v>
      </c>
      <c r="E155" s="448" t="s">
        <v>3176</v>
      </c>
      <c r="F155" s="448" t="s">
        <v>3177</v>
      </c>
      <c r="G155" s="448" t="s">
        <v>3178</v>
      </c>
      <c r="H155" s="448" t="s">
        <v>3179</v>
      </c>
      <c r="I155" s="448" t="s">
        <v>3180</v>
      </c>
      <c r="J155" s="451" t="s">
        <v>3181</v>
      </c>
      <c r="K155" s="450" t="s">
        <v>3182</v>
      </c>
      <c r="L155" s="452" t="s">
        <v>3183</v>
      </c>
      <c r="M155" s="448" t="s">
        <v>3184</v>
      </c>
      <c r="N155" s="448" t="s">
        <v>3185</v>
      </c>
      <c r="O155" s="448" t="s">
        <v>3186</v>
      </c>
      <c r="P155" s="448" t="s">
        <v>3187</v>
      </c>
      <c r="Q155" s="448" t="s">
        <v>3188</v>
      </c>
      <c r="R155" s="453" t="s">
        <v>3189</v>
      </c>
      <c r="S155" s="448" t="s">
        <v>3190</v>
      </c>
      <c r="T155" s="448" t="s">
        <v>3191</v>
      </c>
      <c r="U155" s="448" t="s">
        <v>3192</v>
      </c>
      <c r="V155" s="448" t="s">
        <v>3193</v>
      </c>
    </row>
    <row r="156" spans="1:22" ht="14.25">
      <c r="A156" s="448">
        <v>156</v>
      </c>
      <c r="B156" s="448" t="str">
        <f t="shared" si="2"/>
        <v>Trad156</v>
      </c>
      <c r="C156" s="458" t="s">
        <v>41</v>
      </c>
      <c r="D156" s="448" t="s">
        <v>3194</v>
      </c>
      <c r="E156" s="448" t="s">
        <v>3195</v>
      </c>
      <c r="F156" s="448" t="s">
        <v>3196</v>
      </c>
      <c r="G156" s="448" t="s">
        <v>3197</v>
      </c>
      <c r="H156" s="448" t="s">
        <v>3198</v>
      </c>
      <c r="I156" s="448" t="s">
        <v>3199</v>
      </c>
      <c r="J156" s="451" t="s">
        <v>3200</v>
      </c>
      <c r="K156" s="450" t="s">
        <v>3201</v>
      </c>
      <c r="L156" s="452" t="s">
        <v>3202</v>
      </c>
      <c r="M156" s="448" t="s">
        <v>3203</v>
      </c>
      <c r="N156" s="448" t="s">
        <v>3204</v>
      </c>
      <c r="O156" s="448" t="s">
        <v>3205</v>
      </c>
      <c r="P156" s="448" t="s">
        <v>3194</v>
      </c>
      <c r="Q156" s="448" t="s">
        <v>3206</v>
      </c>
      <c r="R156" s="453" t="s">
        <v>3207</v>
      </c>
      <c r="S156" s="448" t="s">
        <v>3208</v>
      </c>
      <c r="T156" s="448" t="s">
        <v>3209</v>
      </c>
      <c r="U156" s="448" t="s">
        <v>3210</v>
      </c>
      <c r="V156" s="448" t="s">
        <v>3211</v>
      </c>
    </row>
    <row r="157" spans="1:22" ht="14.25">
      <c r="A157" s="448">
        <v>157</v>
      </c>
      <c r="B157" s="448" t="str">
        <f t="shared" si="2"/>
        <v>Trad157</v>
      </c>
      <c r="C157" s="458" t="s">
        <v>3212</v>
      </c>
      <c r="D157" s="448" t="s">
        <v>3213</v>
      </c>
      <c r="E157" s="448" t="s">
        <v>3214</v>
      </c>
      <c r="F157" s="448" t="s">
        <v>3215</v>
      </c>
      <c r="G157" s="448" t="s">
        <v>3216</v>
      </c>
      <c r="H157" s="448" t="s">
        <v>3217</v>
      </c>
      <c r="I157" s="448" t="s">
        <v>3218</v>
      </c>
      <c r="J157" s="451" t="s">
        <v>3219</v>
      </c>
      <c r="K157" s="450" t="s">
        <v>3220</v>
      </c>
      <c r="L157" s="452" t="s">
        <v>3221</v>
      </c>
      <c r="M157" s="448" t="s">
        <v>3222</v>
      </c>
      <c r="N157" s="448" t="s">
        <v>3223</v>
      </c>
      <c r="O157" s="448" t="s">
        <v>3224</v>
      </c>
      <c r="P157" s="448" t="s">
        <v>3225</v>
      </c>
      <c r="Q157" s="448" t="s">
        <v>3226</v>
      </c>
      <c r="R157" s="453" t="s">
        <v>3227</v>
      </c>
      <c r="S157" s="448" t="s">
        <v>3228</v>
      </c>
      <c r="T157" s="448" t="s">
        <v>3229</v>
      </c>
      <c r="U157" s="448" t="s">
        <v>3230</v>
      </c>
      <c r="V157" s="448" t="s">
        <v>3231</v>
      </c>
    </row>
    <row r="158" spans="1:22" ht="14.25">
      <c r="A158" s="448">
        <v>158</v>
      </c>
      <c r="B158" s="448" t="str">
        <f t="shared" si="2"/>
        <v>Trad158</v>
      </c>
      <c r="C158" s="458" t="s">
        <v>3232</v>
      </c>
      <c r="D158" s="448" t="s">
        <v>3233</v>
      </c>
      <c r="E158" s="448" t="s">
        <v>3234</v>
      </c>
      <c r="F158" s="448" t="s">
        <v>3235</v>
      </c>
      <c r="G158" s="448" t="s">
        <v>3236</v>
      </c>
      <c r="H158" s="448" t="s">
        <v>3237</v>
      </c>
      <c r="I158" s="448" t="s">
        <v>3238</v>
      </c>
      <c r="J158" s="451" t="s">
        <v>3239</v>
      </c>
      <c r="K158" s="450" t="s">
        <v>3240</v>
      </c>
      <c r="L158" s="452" t="s">
        <v>3241</v>
      </c>
      <c r="M158" s="448" t="s">
        <v>3242</v>
      </c>
      <c r="N158" s="448" t="s">
        <v>3243</v>
      </c>
      <c r="O158" s="448" t="s">
        <v>3244</v>
      </c>
      <c r="P158" s="448" t="s">
        <v>3245</v>
      </c>
      <c r="Q158" s="448" t="s">
        <v>3246</v>
      </c>
      <c r="R158" s="453" t="s">
        <v>3247</v>
      </c>
      <c r="S158" s="448" t="s">
        <v>3248</v>
      </c>
      <c r="T158" s="448" t="s">
        <v>3249</v>
      </c>
      <c r="U158" s="448" t="s">
        <v>3250</v>
      </c>
      <c r="V158" s="448" t="s">
        <v>3251</v>
      </c>
    </row>
    <row r="159" spans="1:22" ht="14.25">
      <c r="A159" s="448">
        <v>159</v>
      </c>
      <c r="B159" s="448" t="str">
        <f t="shared" si="2"/>
        <v>Trad159</v>
      </c>
      <c r="C159" s="458" t="s">
        <v>3252</v>
      </c>
      <c r="D159" s="448" t="s">
        <v>3253</v>
      </c>
      <c r="E159" s="448" t="s">
        <v>3254</v>
      </c>
      <c r="F159" s="448" t="s">
        <v>3255</v>
      </c>
      <c r="G159" s="448" t="s">
        <v>3256</v>
      </c>
      <c r="H159" s="448" t="s">
        <v>3257</v>
      </c>
      <c r="I159" s="448" t="s">
        <v>3258</v>
      </c>
      <c r="J159" s="451" t="s">
        <v>3259</v>
      </c>
      <c r="K159" s="450" t="s">
        <v>3260</v>
      </c>
      <c r="L159" s="452" t="s">
        <v>3261</v>
      </c>
      <c r="M159" s="448" t="s">
        <v>3262</v>
      </c>
      <c r="N159" s="448" t="s">
        <v>3263</v>
      </c>
      <c r="O159" s="448" t="s">
        <v>3264</v>
      </c>
      <c r="P159" s="448" t="s">
        <v>3265</v>
      </c>
      <c r="Q159" s="448" t="s">
        <v>3266</v>
      </c>
      <c r="R159" s="453" t="s">
        <v>3267</v>
      </c>
      <c r="S159" s="448" t="s">
        <v>3259</v>
      </c>
      <c r="T159" s="448" t="s">
        <v>3268</v>
      </c>
      <c r="U159" s="448" t="s">
        <v>3269</v>
      </c>
      <c r="V159" s="448" t="s">
        <v>3270</v>
      </c>
    </row>
    <row r="160" spans="1:22" ht="14.25">
      <c r="A160" s="448">
        <v>160</v>
      </c>
      <c r="B160" s="448" t="str">
        <f t="shared" si="2"/>
        <v>Trad160</v>
      </c>
      <c r="C160" s="458" t="s">
        <v>3271</v>
      </c>
      <c r="D160" s="448" t="s">
        <v>3272</v>
      </c>
      <c r="E160" s="448" t="s">
        <v>3273</v>
      </c>
      <c r="F160" s="448" t="s">
        <v>3274</v>
      </c>
      <c r="G160" s="448" t="s">
        <v>3275</v>
      </c>
      <c r="H160" s="448" t="s">
        <v>3276</v>
      </c>
      <c r="I160" s="448" t="s">
        <v>3277</v>
      </c>
      <c r="J160" s="451" t="s">
        <v>3278</v>
      </c>
      <c r="K160" s="450" t="s">
        <v>3279</v>
      </c>
      <c r="L160" s="452" t="s">
        <v>3280</v>
      </c>
      <c r="M160" s="448" t="s">
        <v>3281</v>
      </c>
      <c r="N160" s="448" t="s">
        <v>3282</v>
      </c>
      <c r="O160" s="448" t="s">
        <v>3283</v>
      </c>
      <c r="P160" s="448" t="s">
        <v>3284</v>
      </c>
      <c r="Q160" s="448" t="s">
        <v>3285</v>
      </c>
      <c r="R160" s="453" t="s">
        <v>3286</v>
      </c>
      <c r="S160" s="448" t="s">
        <v>3278</v>
      </c>
      <c r="T160" s="448" t="s">
        <v>3287</v>
      </c>
      <c r="U160" s="448" t="s">
        <v>3288</v>
      </c>
      <c r="V160" s="448" t="s">
        <v>3289</v>
      </c>
    </row>
    <row r="161" spans="1:22" ht="14.25">
      <c r="A161" s="448">
        <v>161</v>
      </c>
      <c r="B161" s="448" t="str">
        <f t="shared" si="2"/>
        <v>Trad161</v>
      </c>
      <c r="C161" s="458" t="s">
        <v>3290</v>
      </c>
      <c r="D161" s="448" t="s">
        <v>3291</v>
      </c>
      <c r="E161" s="448" t="s">
        <v>3292</v>
      </c>
      <c r="F161" s="448" t="s">
        <v>3293</v>
      </c>
      <c r="G161" s="448" t="s">
        <v>3294</v>
      </c>
      <c r="H161" s="448" t="s">
        <v>3295</v>
      </c>
      <c r="I161" s="448" t="s">
        <v>3296</v>
      </c>
      <c r="J161" s="451" t="s">
        <v>3297</v>
      </c>
      <c r="K161" s="450" t="s">
        <v>3298</v>
      </c>
      <c r="L161" s="452" t="s">
        <v>3299</v>
      </c>
      <c r="M161" s="448" t="s">
        <v>3300</v>
      </c>
      <c r="N161" s="448" t="s">
        <v>3301</v>
      </c>
      <c r="O161" s="448" t="s">
        <v>3302</v>
      </c>
      <c r="P161" s="448" t="s">
        <v>3303</v>
      </c>
      <c r="Q161" s="448" t="s">
        <v>3304</v>
      </c>
      <c r="R161" s="453" t="s">
        <v>3300</v>
      </c>
      <c r="S161" s="448" t="s">
        <v>3305</v>
      </c>
      <c r="T161" s="448" t="s">
        <v>3306</v>
      </c>
      <c r="U161" s="448" t="s">
        <v>3307</v>
      </c>
      <c r="V161" s="448" t="s">
        <v>3308</v>
      </c>
    </row>
    <row r="162" spans="1:22" ht="14.25">
      <c r="A162" s="448">
        <v>162</v>
      </c>
      <c r="B162" s="448" t="str">
        <f t="shared" si="2"/>
        <v>Trad162</v>
      </c>
      <c r="C162" s="458" t="s">
        <v>3309</v>
      </c>
      <c r="D162" s="448" t="s">
        <v>3310</v>
      </c>
      <c r="E162" s="448" t="s">
        <v>3311</v>
      </c>
      <c r="F162" s="448" t="s">
        <v>3312</v>
      </c>
      <c r="G162" s="448" t="s">
        <v>3313</v>
      </c>
      <c r="H162" s="448" t="s">
        <v>3314</v>
      </c>
      <c r="I162" s="448" t="s">
        <v>3315</v>
      </c>
      <c r="J162" s="451" t="s">
        <v>3316</v>
      </c>
      <c r="K162" s="450" t="s">
        <v>3317</v>
      </c>
      <c r="L162" s="452" t="s">
        <v>3318</v>
      </c>
      <c r="M162" s="448" t="s">
        <v>3319</v>
      </c>
      <c r="N162" s="448" t="s">
        <v>3320</v>
      </c>
      <c r="O162" s="448" t="s">
        <v>3321</v>
      </c>
      <c r="P162" s="448" t="s">
        <v>3322</v>
      </c>
      <c r="Q162" s="448" t="s">
        <v>3323</v>
      </c>
      <c r="R162" s="453" t="s">
        <v>3324</v>
      </c>
      <c r="S162" s="448" t="s">
        <v>3325</v>
      </c>
      <c r="T162" s="448" t="s">
        <v>3326</v>
      </c>
      <c r="U162" s="448" t="s">
        <v>3327</v>
      </c>
      <c r="V162" s="448" t="s">
        <v>3328</v>
      </c>
    </row>
    <row r="163" spans="1:22" ht="14.25">
      <c r="A163" s="448">
        <v>163</v>
      </c>
      <c r="B163" s="448" t="str">
        <f t="shared" si="2"/>
        <v>Trad163</v>
      </c>
      <c r="C163" s="458" t="s">
        <v>3329</v>
      </c>
      <c r="D163" s="448" t="s">
        <v>3330</v>
      </c>
      <c r="E163" s="448" t="s">
        <v>3331</v>
      </c>
      <c r="F163" s="448" t="s">
        <v>3332</v>
      </c>
      <c r="G163" s="459" t="s">
        <v>3333</v>
      </c>
      <c r="H163" s="459" t="s">
        <v>3334</v>
      </c>
      <c r="I163" s="459" t="s">
        <v>3335</v>
      </c>
      <c r="J163" s="451" t="s">
        <v>3336</v>
      </c>
      <c r="K163" s="450" t="s">
        <v>3337</v>
      </c>
      <c r="L163" s="452" t="s">
        <v>3338</v>
      </c>
      <c r="M163" s="448" t="s">
        <v>3339</v>
      </c>
      <c r="N163" s="448" t="s">
        <v>3340</v>
      </c>
      <c r="O163" s="448" t="s">
        <v>3341</v>
      </c>
      <c r="P163" s="448" t="s">
        <v>3342</v>
      </c>
      <c r="Q163" s="448" t="s">
        <v>3343</v>
      </c>
      <c r="R163" s="453" t="s">
        <v>3344</v>
      </c>
      <c r="S163" s="448" t="s">
        <v>3345</v>
      </c>
      <c r="T163" s="448" t="s">
        <v>3346</v>
      </c>
      <c r="U163" s="448" t="s">
        <v>3347</v>
      </c>
      <c r="V163" s="448" t="s">
        <v>3348</v>
      </c>
    </row>
    <row r="164" spans="1:22" ht="14.25">
      <c r="A164" s="448">
        <v>164</v>
      </c>
      <c r="B164" s="448" t="str">
        <f t="shared" si="2"/>
        <v>Trad164</v>
      </c>
      <c r="C164" s="458" t="s">
        <v>3349</v>
      </c>
      <c r="D164" s="448" t="s">
        <v>3350</v>
      </c>
      <c r="E164" s="448" t="s">
        <v>3351</v>
      </c>
      <c r="F164" s="448" t="s">
        <v>3352</v>
      </c>
      <c r="G164" s="459" t="s">
        <v>3353</v>
      </c>
      <c r="H164" s="459" t="s">
        <v>3354</v>
      </c>
      <c r="I164" s="459" t="s">
        <v>3355</v>
      </c>
      <c r="J164" s="451" t="s">
        <v>3356</v>
      </c>
      <c r="K164" s="450" t="s">
        <v>3357</v>
      </c>
      <c r="L164" s="452" t="s">
        <v>3358</v>
      </c>
      <c r="M164" s="448" t="s">
        <v>3359</v>
      </c>
      <c r="N164" s="448" t="s">
        <v>3360</v>
      </c>
      <c r="O164" s="448" t="s">
        <v>3361</v>
      </c>
      <c r="P164" s="448" t="s">
        <v>3362</v>
      </c>
      <c r="Q164" s="448" t="s">
        <v>3363</v>
      </c>
      <c r="R164" s="453" t="s">
        <v>3364</v>
      </c>
      <c r="S164" s="448" t="s">
        <v>3365</v>
      </c>
      <c r="T164" s="448" t="s">
        <v>3366</v>
      </c>
      <c r="U164" s="448" t="s">
        <v>3367</v>
      </c>
      <c r="V164" s="448" t="s">
        <v>3368</v>
      </c>
    </row>
    <row r="165" spans="1:22" ht="14.25">
      <c r="A165" s="448">
        <v>165</v>
      </c>
      <c r="B165" s="448" t="str">
        <f t="shared" si="2"/>
        <v>Trad165</v>
      </c>
      <c r="C165" s="458" t="s">
        <v>3369</v>
      </c>
      <c r="D165" s="448" t="s">
        <v>3370</v>
      </c>
      <c r="E165" s="448" t="s">
        <v>3371</v>
      </c>
      <c r="F165" s="448" t="s">
        <v>3372</v>
      </c>
      <c r="G165" s="459" t="s">
        <v>3373</v>
      </c>
      <c r="H165" s="459" t="s">
        <v>3374</v>
      </c>
      <c r="I165" s="459" t="s">
        <v>3375</v>
      </c>
      <c r="J165" s="451" t="s">
        <v>3376</v>
      </c>
      <c r="K165" s="450" t="s">
        <v>3357</v>
      </c>
      <c r="L165" s="452" t="s">
        <v>3377</v>
      </c>
      <c r="M165" s="448" t="s">
        <v>3378</v>
      </c>
      <c r="N165" s="448" t="s">
        <v>3379</v>
      </c>
      <c r="O165" s="448" t="s">
        <v>3380</v>
      </c>
      <c r="P165" s="448" t="s">
        <v>3381</v>
      </c>
      <c r="Q165" s="448" t="s">
        <v>3382</v>
      </c>
      <c r="R165" s="453" t="s">
        <v>3383</v>
      </c>
      <c r="S165" s="448" t="s">
        <v>3384</v>
      </c>
      <c r="T165" s="448" t="s">
        <v>3385</v>
      </c>
      <c r="U165" s="448" t="s">
        <v>3386</v>
      </c>
      <c r="V165" s="448" t="s">
        <v>3387</v>
      </c>
    </row>
    <row r="166" spans="1:22" ht="14.25">
      <c r="A166" s="448">
        <v>166</v>
      </c>
      <c r="B166" s="448" t="str">
        <f t="shared" si="2"/>
        <v>Trad166</v>
      </c>
      <c r="C166" s="458" t="s">
        <v>23</v>
      </c>
      <c r="D166" s="448" t="s">
        <v>3388</v>
      </c>
      <c r="E166" s="448" t="s">
        <v>3389</v>
      </c>
      <c r="F166" s="448" t="s">
        <v>3390</v>
      </c>
      <c r="G166" s="459" t="s">
        <v>3391</v>
      </c>
      <c r="H166" s="459" t="s">
        <v>3392</v>
      </c>
      <c r="I166" s="459" t="s">
        <v>3393</v>
      </c>
      <c r="J166" s="451" t="s">
        <v>3394</v>
      </c>
      <c r="K166" s="450" t="s">
        <v>3395</v>
      </c>
      <c r="L166" s="452" t="s">
        <v>3396</v>
      </c>
      <c r="M166" s="448" t="s">
        <v>3397</v>
      </c>
      <c r="N166" s="448" t="s">
        <v>3398</v>
      </c>
      <c r="O166" s="448" t="s">
        <v>3399</v>
      </c>
      <c r="P166" s="448" t="s">
        <v>3400</v>
      </c>
      <c r="Q166" s="448" t="s">
        <v>3390</v>
      </c>
      <c r="R166" s="453" t="s">
        <v>3401</v>
      </c>
      <c r="S166" s="448" t="s">
        <v>3402</v>
      </c>
      <c r="T166" s="448" t="s">
        <v>3403</v>
      </c>
      <c r="U166" s="448" t="s">
        <v>3404</v>
      </c>
      <c r="V166" s="448" t="s">
        <v>3405</v>
      </c>
    </row>
    <row r="167" spans="1:22" ht="14.25">
      <c r="A167" s="448">
        <v>167</v>
      </c>
      <c r="B167" s="448" t="str">
        <f t="shared" si="2"/>
        <v>Trad167</v>
      </c>
      <c r="C167" s="458" t="s">
        <v>3406</v>
      </c>
      <c r="D167" s="448" t="s">
        <v>3407</v>
      </c>
      <c r="E167" s="448" t="s">
        <v>3408</v>
      </c>
      <c r="F167" s="448" t="s">
        <v>3409</v>
      </c>
      <c r="G167" s="459" t="s">
        <v>3410</v>
      </c>
      <c r="H167" s="459" t="s">
        <v>3411</v>
      </c>
      <c r="I167" s="459" t="s">
        <v>3412</v>
      </c>
      <c r="J167" s="451" t="s">
        <v>3413</v>
      </c>
      <c r="K167" s="448" t="s">
        <v>3414</v>
      </c>
      <c r="L167" s="452" t="s">
        <v>3415</v>
      </c>
      <c r="M167" s="448" t="s">
        <v>3416</v>
      </c>
      <c r="N167" s="448" t="s">
        <v>3417</v>
      </c>
      <c r="O167" s="448" t="s">
        <v>3418</v>
      </c>
      <c r="P167" s="448" t="s">
        <v>3419</v>
      </c>
      <c r="Q167" s="448" t="s">
        <v>3420</v>
      </c>
      <c r="R167" s="453" t="s">
        <v>3416</v>
      </c>
      <c r="S167" s="448" t="s">
        <v>3421</v>
      </c>
      <c r="T167" s="448" t="s">
        <v>3422</v>
      </c>
      <c r="U167" s="448" t="s">
        <v>3423</v>
      </c>
      <c r="V167" s="448" t="s">
        <v>3424</v>
      </c>
    </row>
    <row r="168" spans="1:22" ht="14.25">
      <c r="A168" s="448">
        <v>168</v>
      </c>
      <c r="B168" s="448" t="str">
        <f t="shared" si="2"/>
        <v>Trad168</v>
      </c>
      <c r="C168" s="458" t="s">
        <v>3425</v>
      </c>
      <c r="D168" s="448" t="s">
        <v>3426</v>
      </c>
      <c r="E168" s="448" t="s">
        <v>3427</v>
      </c>
      <c r="F168" s="448" t="s">
        <v>3428</v>
      </c>
      <c r="G168" s="459" t="s">
        <v>3429</v>
      </c>
      <c r="H168" s="459" t="s">
        <v>3430</v>
      </c>
      <c r="I168" s="459" t="s">
        <v>3431</v>
      </c>
      <c r="J168" s="451" t="s">
        <v>3432</v>
      </c>
      <c r="K168" s="450" t="s">
        <v>3433</v>
      </c>
      <c r="L168" s="452" t="s">
        <v>3434</v>
      </c>
      <c r="M168" s="448" t="s">
        <v>3435</v>
      </c>
      <c r="N168" s="448" t="s">
        <v>3436</v>
      </c>
      <c r="O168" s="448" t="s">
        <v>3437</v>
      </c>
      <c r="P168" s="448" t="s">
        <v>3438</v>
      </c>
      <c r="Q168" s="448" t="s">
        <v>3439</v>
      </c>
      <c r="R168" s="453" t="s">
        <v>3440</v>
      </c>
      <c r="S168" s="448" t="s">
        <v>3441</v>
      </c>
      <c r="T168" s="448" t="s">
        <v>3442</v>
      </c>
      <c r="U168" s="448" t="s">
        <v>3443</v>
      </c>
      <c r="V168" s="448" t="s">
        <v>3444</v>
      </c>
    </row>
    <row r="169" spans="1:22" ht="14.25">
      <c r="A169" s="448">
        <v>169</v>
      </c>
      <c r="B169" s="448" t="str">
        <f t="shared" si="2"/>
        <v>Trad169</v>
      </c>
      <c r="C169" s="458" t="s">
        <v>3445</v>
      </c>
      <c r="D169" s="448" t="s">
        <v>3446</v>
      </c>
      <c r="E169" s="448" t="s">
        <v>3447</v>
      </c>
      <c r="F169" s="448" t="s">
        <v>3448</v>
      </c>
      <c r="G169" s="459" t="s">
        <v>3449</v>
      </c>
      <c r="H169" s="459" t="s">
        <v>813</v>
      </c>
      <c r="I169" s="459" t="s">
        <v>3450</v>
      </c>
      <c r="J169" s="451" t="s">
        <v>3451</v>
      </c>
      <c r="K169" s="450" t="s">
        <v>3452</v>
      </c>
      <c r="L169" s="452" t="s">
        <v>3453</v>
      </c>
      <c r="M169" s="448" t="s">
        <v>3454</v>
      </c>
      <c r="N169" s="448" t="s">
        <v>3455</v>
      </c>
      <c r="O169" s="448" t="s">
        <v>3456</v>
      </c>
      <c r="P169" s="448" t="s">
        <v>3457</v>
      </c>
      <c r="Q169" s="448" t="s">
        <v>3458</v>
      </c>
      <c r="R169" s="453" t="s">
        <v>3459</v>
      </c>
      <c r="S169" s="448" t="s">
        <v>3460</v>
      </c>
      <c r="T169" s="448" t="s">
        <v>3461</v>
      </c>
      <c r="U169" s="448" t="s">
        <v>3462</v>
      </c>
      <c r="V169" s="448" t="s">
        <v>3463</v>
      </c>
    </row>
    <row r="170" spans="1:22" ht="14.25">
      <c r="A170" s="448">
        <v>170</v>
      </c>
      <c r="B170" s="448" t="str">
        <f t="shared" si="2"/>
        <v>Trad170</v>
      </c>
      <c r="C170" s="458" t="s">
        <v>3464</v>
      </c>
      <c r="D170" s="448" t="s">
        <v>3465</v>
      </c>
      <c r="E170" s="448" t="s">
        <v>3466</v>
      </c>
      <c r="F170" s="448" t="s">
        <v>3467</v>
      </c>
      <c r="G170" s="459" t="s">
        <v>3468</v>
      </c>
      <c r="H170" s="459" t="s">
        <v>3469</v>
      </c>
      <c r="I170" s="459" t="s">
        <v>3470</v>
      </c>
      <c r="J170" s="451" t="s">
        <v>3471</v>
      </c>
      <c r="K170" s="448" t="s">
        <v>3472</v>
      </c>
      <c r="L170" s="452" t="s">
        <v>3473</v>
      </c>
      <c r="M170" s="448" t="s">
        <v>3474</v>
      </c>
      <c r="N170" s="448" t="s">
        <v>3475</v>
      </c>
      <c r="O170" s="448" t="s">
        <v>3476</v>
      </c>
      <c r="P170" s="448" t="s">
        <v>3465</v>
      </c>
      <c r="Q170" s="448" t="s">
        <v>3477</v>
      </c>
      <c r="R170" s="453" t="s">
        <v>3478</v>
      </c>
      <c r="S170" s="448" t="s">
        <v>3479</v>
      </c>
      <c r="T170" s="448" t="s">
        <v>3480</v>
      </c>
      <c r="U170" s="448" t="s">
        <v>3481</v>
      </c>
      <c r="V170" s="448" t="s">
        <v>3482</v>
      </c>
    </row>
    <row r="171" spans="1:22" ht="14.25">
      <c r="A171" s="448">
        <v>171</v>
      </c>
      <c r="B171" s="448" t="str">
        <f t="shared" si="2"/>
        <v>Trad171</v>
      </c>
      <c r="C171" s="449" t="s">
        <v>3483</v>
      </c>
      <c r="D171" s="448" t="s">
        <v>3484</v>
      </c>
      <c r="E171" s="448" t="s">
        <v>3485</v>
      </c>
      <c r="F171" s="448" t="s">
        <v>3486</v>
      </c>
      <c r="G171" s="448" t="s">
        <v>3487</v>
      </c>
      <c r="H171" s="448" t="s">
        <v>3488</v>
      </c>
      <c r="I171" s="448" t="s">
        <v>3489</v>
      </c>
      <c r="J171" s="451" t="s">
        <v>3490</v>
      </c>
      <c r="K171" s="448" t="s">
        <v>3491</v>
      </c>
      <c r="L171" s="452" t="s">
        <v>3492</v>
      </c>
      <c r="M171" s="448" t="s">
        <v>3493</v>
      </c>
      <c r="N171" s="448" t="s">
        <v>3494</v>
      </c>
      <c r="O171" s="448" t="s">
        <v>3495</v>
      </c>
      <c r="P171" s="448" t="s">
        <v>3496</v>
      </c>
      <c r="Q171" s="448" t="s">
        <v>3491</v>
      </c>
      <c r="R171" s="453" t="s">
        <v>3497</v>
      </c>
      <c r="S171" s="448" t="s">
        <v>3498</v>
      </c>
      <c r="T171" s="448" t="s">
        <v>3499</v>
      </c>
      <c r="U171" s="448" t="s">
        <v>3500</v>
      </c>
      <c r="V171" s="448" t="s">
        <v>3501</v>
      </c>
    </row>
    <row r="172" spans="1:22" ht="14.25">
      <c r="A172" s="448">
        <v>172</v>
      </c>
      <c r="B172" s="448" t="str">
        <f t="shared" si="2"/>
        <v>Trad172</v>
      </c>
      <c r="C172" s="449" t="s">
        <v>3502</v>
      </c>
      <c r="D172" s="448" t="s">
        <v>3503</v>
      </c>
      <c r="E172" s="448" t="s">
        <v>3504</v>
      </c>
      <c r="F172" s="448" t="s">
        <v>3505</v>
      </c>
      <c r="G172" s="448" t="s">
        <v>3506</v>
      </c>
      <c r="H172" s="448" t="s">
        <v>3507</v>
      </c>
      <c r="I172" s="448" t="s">
        <v>3508</v>
      </c>
      <c r="J172" s="451" t="s">
        <v>3509</v>
      </c>
      <c r="K172" s="448" t="s">
        <v>3510</v>
      </c>
      <c r="L172" s="452" t="s">
        <v>3511</v>
      </c>
      <c r="M172" s="448" t="s">
        <v>3512</v>
      </c>
      <c r="N172" s="448" t="s">
        <v>3513</v>
      </c>
      <c r="O172" s="448" t="s">
        <v>3514</v>
      </c>
      <c r="P172" s="448" t="s">
        <v>3515</v>
      </c>
      <c r="Q172" s="448" t="s">
        <v>3516</v>
      </c>
      <c r="R172" s="453" t="s">
        <v>3517</v>
      </c>
      <c r="S172" s="448" t="s">
        <v>3518</v>
      </c>
      <c r="T172" s="448" t="s">
        <v>3519</v>
      </c>
      <c r="U172" s="448" t="s">
        <v>3520</v>
      </c>
      <c r="V172" s="448" t="s">
        <v>3521</v>
      </c>
    </row>
    <row r="173" spans="1:22" ht="14.25">
      <c r="A173" s="448">
        <v>173</v>
      </c>
      <c r="B173" s="448" t="str">
        <f t="shared" si="2"/>
        <v>Trad173</v>
      </c>
      <c r="C173" s="449" t="s">
        <v>3522</v>
      </c>
      <c r="D173" s="448" t="s">
        <v>3523</v>
      </c>
      <c r="E173" s="448" t="s">
        <v>3524</v>
      </c>
      <c r="F173" s="448" t="s">
        <v>3525</v>
      </c>
      <c r="G173" s="448" t="s">
        <v>3526</v>
      </c>
      <c r="H173" s="448" t="s">
        <v>3527</v>
      </c>
      <c r="I173" s="448" t="s">
        <v>3528</v>
      </c>
      <c r="J173" s="451" t="s">
        <v>3529</v>
      </c>
      <c r="K173" s="448" t="s">
        <v>3530</v>
      </c>
      <c r="L173" s="452" t="s">
        <v>3531</v>
      </c>
      <c r="M173" s="448" t="s">
        <v>3532</v>
      </c>
      <c r="N173" s="448" t="s">
        <v>3533</v>
      </c>
      <c r="O173" s="448" t="s">
        <v>3534</v>
      </c>
      <c r="P173" s="448" t="s">
        <v>3535</v>
      </c>
      <c r="Q173" s="448" t="s">
        <v>3536</v>
      </c>
      <c r="R173" s="453" t="s">
        <v>3537</v>
      </c>
      <c r="S173" s="448" t="s">
        <v>3538</v>
      </c>
      <c r="T173" s="448" t="s">
        <v>3539</v>
      </c>
      <c r="U173" s="448" t="s">
        <v>3540</v>
      </c>
      <c r="V173" s="448" t="s">
        <v>3541</v>
      </c>
    </row>
    <row r="174" spans="1:22" ht="14.25">
      <c r="A174" s="448">
        <v>174</v>
      </c>
      <c r="B174" s="448" t="str">
        <f t="shared" si="2"/>
        <v>Trad174</v>
      </c>
      <c r="C174" s="449" t="s">
        <v>3542</v>
      </c>
      <c r="D174" s="448" t="s">
        <v>3543</v>
      </c>
      <c r="E174" s="448" t="s">
        <v>3544</v>
      </c>
      <c r="F174" s="448" t="s">
        <v>3545</v>
      </c>
      <c r="G174" s="448" t="s">
        <v>3546</v>
      </c>
      <c r="H174" s="448" t="s">
        <v>3547</v>
      </c>
      <c r="I174" s="448" t="s">
        <v>3548</v>
      </c>
      <c r="J174" s="451" t="s">
        <v>3549</v>
      </c>
      <c r="K174" s="448" t="s">
        <v>3550</v>
      </c>
      <c r="L174" s="452" t="s">
        <v>3551</v>
      </c>
      <c r="M174" s="448" t="s">
        <v>3552</v>
      </c>
      <c r="N174" s="448" t="s">
        <v>3553</v>
      </c>
      <c r="O174" s="448" t="s">
        <v>3554</v>
      </c>
      <c r="P174" s="448" t="s">
        <v>3555</v>
      </c>
      <c r="Q174" s="448" t="s">
        <v>3556</v>
      </c>
      <c r="R174" s="453" t="s">
        <v>3557</v>
      </c>
      <c r="S174" s="448" t="s">
        <v>3558</v>
      </c>
      <c r="T174" s="448" t="s">
        <v>3559</v>
      </c>
      <c r="U174" s="448" t="s">
        <v>3560</v>
      </c>
      <c r="V174" s="448" t="s">
        <v>3561</v>
      </c>
    </row>
    <row r="175" spans="1:22" ht="14.25">
      <c r="A175" s="448">
        <v>175</v>
      </c>
      <c r="B175" s="448" t="str">
        <f t="shared" si="2"/>
        <v>Trad175</v>
      </c>
      <c r="C175" s="449" t="s">
        <v>3562</v>
      </c>
      <c r="D175" s="448" t="s">
        <v>3563</v>
      </c>
      <c r="E175" s="448" t="s">
        <v>3564</v>
      </c>
      <c r="F175" s="448" t="s">
        <v>3565</v>
      </c>
      <c r="G175" s="448" t="s">
        <v>3566</v>
      </c>
      <c r="H175" s="448" t="s">
        <v>3567</v>
      </c>
      <c r="I175" s="448" t="s">
        <v>3568</v>
      </c>
      <c r="J175" s="451" t="s">
        <v>3569</v>
      </c>
      <c r="K175" s="448" t="s">
        <v>3570</v>
      </c>
      <c r="L175" s="452" t="s">
        <v>3571</v>
      </c>
      <c r="M175" s="448" t="s">
        <v>3572</v>
      </c>
      <c r="N175" s="448" t="s">
        <v>3573</v>
      </c>
      <c r="O175" s="448" t="s">
        <v>3574</v>
      </c>
      <c r="P175" s="448" t="s">
        <v>3575</v>
      </c>
      <c r="Q175" s="448" t="s">
        <v>3576</v>
      </c>
      <c r="R175" s="453" t="s">
        <v>3577</v>
      </c>
      <c r="S175" s="448" t="s">
        <v>3578</v>
      </c>
      <c r="T175" s="448" t="s">
        <v>3579</v>
      </c>
      <c r="U175" s="448" t="s">
        <v>3580</v>
      </c>
      <c r="V175" s="448" t="s">
        <v>3581</v>
      </c>
    </row>
    <row r="176" spans="1:22" ht="14.25">
      <c r="A176" s="448">
        <v>176</v>
      </c>
      <c r="B176" s="448" t="str">
        <f t="shared" si="2"/>
        <v>Trad176</v>
      </c>
      <c r="C176" s="449" t="s">
        <v>3582</v>
      </c>
      <c r="D176" s="448" t="s">
        <v>3583</v>
      </c>
      <c r="E176" s="448" t="s">
        <v>3584</v>
      </c>
      <c r="F176" s="448" t="s">
        <v>3585</v>
      </c>
      <c r="G176" s="448" t="s">
        <v>3586</v>
      </c>
      <c r="H176" s="448" t="s">
        <v>3587</v>
      </c>
      <c r="I176" s="448" t="s">
        <v>3588</v>
      </c>
      <c r="J176" s="451" t="s">
        <v>3589</v>
      </c>
      <c r="K176" s="448" t="s">
        <v>3590</v>
      </c>
      <c r="L176" s="452" t="s">
        <v>3591</v>
      </c>
      <c r="M176" s="448" t="s">
        <v>3592</v>
      </c>
      <c r="N176" s="448" t="s">
        <v>3593</v>
      </c>
      <c r="O176" s="448" t="s">
        <v>3594</v>
      </c>
      <c r="P176" s="448" t="s">
        <v>3595</v>
      </c>
      <c r="Q176" s="448" t="s">
        <v>3596</v>
      </c>
      <c r="R176" s="453" t="s">
        <v>3597</v>
      </c>
      <c r="S176" s="448" t="s">
        <v>3598</v>
      </c>
      <c r="T176" s="448" t="s">
        <v>3599</v>
      </c>
      <c r="U176" s="448" t="s">
        <v>3600</v>
      </c>
      <c r="V176" s="448" t="s">
        <v>3601</v>
      </c>
    </row>
    <row r="177" spans="1:22" ht="14.25">
      <c r="A177" s="448">
        <v>177</v>
      </c>
      <c r="B177" s="448" t="str">
        <f t="shared" si="2"/>
        <v>Trad177</v>
      </c>
      <c r="C177" s="449" t="s">
        <v>3602</v>
      </c>
      <c r="D177" s="448" t="s">
        <v>3603</v>
      </c>
      <c r="E177" s="448" t="s">
        <v>3604</v>
      </c>
      <c r="F177" s="448" t="s">
        <v>3605</v>
      </c>
      <c r="G177" s="448" t="s">
        <v>3606</v>
      </c>
      <c r="H177" s="448" t="s">
        <v>3607</v>
      </c>
      <c r="I177" s="448" t="s">
        <v>3608</v>
      </c>
      <c r="J177" s="451" t="s">
        <v>3609</v>
      </c>
      <c r="K177" s="448" t="s">
        <v>3610</v>
      </c>
      <c r="L177" s="460" t="s">
        <v>3611</v>
      </c>
      <c r="M177" s="448" t="s">
        <v>3612</v>
      </c>
      <c r="N177" s="448" t="s">
        <v>3613</v>
      </c>
      <c r="O177" s="448" t="s">
        <v>3614</v>
      </c>
      <c r="P177" s="448" t="s">
        <v>3615</v>
      </c>
      <c r="Q177" s="448" t="s">
        <v>3616</v>
      </c>
      <c r="R177" s="453" t="s">
        <v>3617</v>
      </c>
      <c r="S177" s="448" t="s">
        <v>3618</v>
      </c>
      <c r="T177" s="448" t="s">
        <v>3619</v>
      </c>
      <c r="U177" s="448" t="s">
        <v>3620</v>
      </c>
      <c r="V177" s="448" t="s">
        <v>3621</v>
      </c>
    </row>
    <row r="178" spans="1:22">
      <c r="A178" s="448">
        <v>178</v>
      </c>
      <c r="B178" s="448" t="str">
        <f t="shared" si="2"/>
        <v>Trad178</v>
      </c>
      <c r="C178" s="449" t="s">
        <v>3622</v>
      </c>
      <c r="D178" s="448" t="s">
        <v>3623</v>
      </c>
      <c r="E178" s="448" t="s">
        <v>3624</v>
      </c>
      <c r="F178" s="448" t="s">
        <v>3625</v>
      </c>
      <c r="G178" s="448" t="s">
        <v>3626</v>
      </c>
      <c r="H178" s="448" t="s">
        <v>3627</v>
      </c>
      <c r="I178" s="448" t="s">
        <v>3628</v>
      </c>
      <c r="J178" s="451" t="s">
        <v>3629</v>
      </c>
      <c r="K178" s="448" t="s">
        <v>3630</v>
      </c>
      <c r="L178" s="448" t="s">
        <v>3631</v>
      </c>
      <c r="M178" s="448" t="s">
        <v>3632</v>
      </c>
      <c r="N178" s="448" t="s">
        <v>3633</v>
      </c>
      <c r="O178" s="448" t="s">
        <v>3634</v>
      </c>
      <c r="P178" s="448" t="s">
        <v>3635</v>
      </c>
      <c r="Q178" s="448" t="s">
        <v>3636</v>
      </c>
      <c r="R178" s="453" t="s">
        <v>3637</v>
      </c>
      <c r="S178" s="448" t="s">
        <v>3638</v>
      </c>
      <c r="T178" s="448" t="s">
        <v>3639</v>
      </c>
      <c r="U178" s="448" t="s">
        <v>3640</v>
      </c>
      <c r="V178" s="448" t="s">
        <v>3641</v>
      </c>
    </row>
    <row r="179" spans="1:22">
      <c r="A179" s="448">
        <v>179</v>
      </c>
      <c r="B179" s="448" t="str">
        <f t="shared" si="2"/>
        <v>Trad179</v>
      </c>
      <c r="C179" s="449" t="s">
        <v>3642</v>
      </c>
      <c r="D179" s="448" t="s">
        <v>3643</v>
      </c>
      <c r="E179" s="448" t="s">
        <v>3644</v>
      </c>
      <c r="F179" s="448" t="s">
        <v>3645</v>
      </c>
      <c r="G179" s="448" t="s">
        <v>3646</v>
      </c>
      <c r="H179" s="448" t="s">
        <v>3647</v>
      </c>
      <c r="I179" s="448" t="s">
        <v>3648</v>
      </c>
      <c r="J179" s="451" t="s">
        <v>3649</v>
      </c>
      <c r="K179" s="448" t="s">
        <v>3650</v>
      </c>
      <c r="L179" s="448" t="s">
        <v>3651</v>
      </c>
      <c r="M179" s="448" t="s">
        <v>3652</v>
      </c>
      <c r="N179" s="448" t="s">
        <v>3653</v>
      </c>
      <c r="O179" s="448" t="s">
        <v>3654</v>
      </c>
      <c r="P179" s="448" t="s">
        <v>3655</v>
      </c>
      <c r="Q179" s="448" t="s">
        <v>3656</v>
      </c>
      <c r="R179" s="453" t="s">
        <v>3657</v>
      </c>
      <c r="S179" s="448" t="s">
        <v>3658</v>
      </c>
      <c r="T179" s="448" t="s">
        <v>3659</v>
      </c>
      <c r="U179" s="448" t="s">
        <v>3660</v>
      </c>
      <c r="V179" s="448" t="s">
        <v>3661</v>
      </c>
    </row>
    <row r="180" spans="1:22">
      <c r="A180" s="448">
        <v>180</v>
      </c>
      <c r="B180" s="448" t="str">
        <f t="shared" si="2"/>
        <v>Trad180</v>
      </c>
      <c r="C180" s="449" t="s">
        <v>3662</v>
      </c>
      <c r="D180" s="448" t="s">
        <v>3663</v>
      </c>
      <c r="E180" s="448" t="s">
        <v>3664</v>
      </c>
      <c r="F180" s="448" t="s">
        <v>3665</v>
      </c>
      <c r="G180" s="448" t="s">
        <v>3666</v>
      </c>
      <c r="H180" s="448" t="s">
        <v>3667</v>
      </c>
      <c r="I180" s="448" t="s">
        <v>3668</v>
      </c>
      <c r="J180" s="451" t="s">
        <v>3669</v>
      </c>
      <c r="K180" s="448" t="s">
        <v>3670</v>
      </c>
      <c r="L180" s="448" t="s">
        <v>3666</v>
      </c>
      <c r="M180" s="448" t="s">
        <v>3671</v>
      </c>
      <c r="N180" s="448" t="s">
        <v>3672</v>
      </c>
      <c r="O180" s="448" t="s">
        <v>3673</v>
      </c>
      <c r="P180" s="448" t="s">
        <v>3665</v>
      </c>
      <c r="Q180" s="448" t="s">
        <v>3666</v>
      </c>
      <c r="R180" s="453" t="s">
        <v>3671</v>
      </c>
      <c r="S180" s="448" t="s">
        <v>3674</v>
      </c>
      <c r="T180" s="448" t="s">
        <v>3666</v>
      </c>
      <c r="U180" s="448" t="s">
        <v>3675</v>
      </c>
      <c r="V180" s="448" t="s">
        <v>3663</v>
      </c>
    </row>
    <row r="181" spans="1:22">
      <c r="A181" s="448">
        <v>181</v>
      </c>
      <c r="B181" s="448" t="str">
        <f t="shared" si="2"/>
        <v>Trad181</v>
      </c>
      <c r="C181" s="449" t="s">
        <v>3676</v>
      </c>
      <c r="D181" s="448" t="s">
        <v>3676</v>
      </c>
      <c r="E181" s="448" t="s">
        <v>3677</v>
      </c>
      <c r="F181" s="448" t="s">
        <v>3676</v>
      </c>
      <c r="G181" s="448" t="s">
        <v>3678</v>
      </c>
      <c r="H181" s="448" t="s">
        <v>3679</v>
      </c>
      <c r="I181" s="448" t="s">
        <v>3676</v>
      </c>
      <c r="J181" s="451" t="s">
        <v>3676</v>
      </c>
      <c r="K181" s="448" t="s">
        <v>3680</v>
      </c>
      <c r="L181" s="448" t="s">
        <v>3676</v>
      </c>
      <c r="M181" s="448" t="s">
        <v>3676</v>
      </c>
      <c r="N181" s="448" t="s">
        <v>3676</v>
      </c>
      <c r="O181" s="448" t="s">
        <v>3681</v>
      </c>
      <c r="P181" s="448" t="s">
        <v>1994</v>
      </c>
      <c r="Q181" s="448" t="s">
        <v>3676</v>
      </c>
      <c r="R181" s="453" t="s">
        <v>3682</v>
      </c>
      <c r="S181" s="448" t="s">
        <v>3676</v>
      </c>
      <c r="T181" s="448" t="s">
        <v>3676</v>
      </c>
      <c r="U181" s="448" t="s">
        <v>3683</v>
      </c>
      <c r="V181" s="448" t="s">
        <v>3676</v>
      </c>
    </row>
    <row r="182" spans="1:22">
      <c r="A182" s="448">
        <v>182</v>
      </c>
      <c r="B182" s="448" t="str">
        <f t="shared" si="2"/>
        <v>Trad182</v>
      </c>
      <c r="C182" s="449" t="s">
        <v>3684</v>
      </c>
      <c r="D182" s="448" t="s">
        <v>3685</v>
      </c>
      <c r="E182" s="448" t="s">
        <v>3686</v>
      </c>
      <c r="F182" s="448" t="s">
        <v>3687</v>
      </c>
      <c r="G182" s="448" t="s">
        <v>3688</v>
      </c>
      <c r="H182" s="448" t="s">
        <v>3689</v>
      </c>
      <c r="I182" s="448" t="s">
        <v>3690</v>
      </c>
      <c r="J182" s="451" t="s">
        <v>3691</v>
      </c>
      <c r="K182" s="448" t="s">
        <v>3692</v>
      </c>
      <c r="L182" s="448" t="s">
        <v>3693</v>
      </c>
      <c r="M182" s="448" t="s">
        <v>3691</v>
      </c>
      <c r="N182" s="448" t="s">
        <v>3691</v>
      </c>
      <c r="O182" s="448" t="s">
        <v>3694</v>
      </c>
      <c r="P182" s="448" t="s">
        <v>3695</v>
      </c>
      <c r="Q182" s="448" t="s">
        <v>3696</v>
      </c>
      <c r="R182" s="453" t="s">
        <v>3691</v>
      </c>
      <c r="S182" s="448" t="s">
        <v>3697</v>
      </c>
      <c r="T182" s="448" t="s">
        <v>3698</v>
      </c>
      <c r="U182" s="448" t="s">
        <v>3688</v>
      </c>
      <c r="V182" s="448" t="s">
        <v>3699</v>
      </c>
    </row>
    <row r="183" spans="1:22">
      <c r="A183" s="448">
        <v>183</v>
      </c>
      <c r="B183" s="448" t="str">
        <f t="shared" si="2"/>
        <v>Trad183</v>
      </c>
      <c r="C183" s="449" t="s">
        <v>3700</v>
      </c>
      <c r="D183" s="448" t="s">
        <v>3701</v>
      </c>
      <c r="E183" s="448" t="s">
        <v>3702</v>
      </c>
      <c r="F183" s="448" t="s">
        <v>3703</v>
      </c>
      <c r="G183" s="448" t="s">
        <v>3704</v>
      </c>
      <c r="H183" s="448" t="s">
        <v>3705</v>
      </c>
      <c r="I183" s="448" t="s">
        <v>3706</v>
      </c>
      <c r="J183" s="451" t="s">
        <v>3707</v>
      </c>
      <c r="K183" s="448" t="s">
        <v>3708</v>
      </c>
      <c r="L183" s="448" t="s">
        <v>3709</v>
      </c>
      <c r="M183" s="448" t="s">
        <v>3710</v>
      </c>
      <c r="N183" s="448" t="s">
        <v>3711</v>
      </c>
      <c r="O183" s="448" t="s">
        <v>3712</v>
      </c>
      <c r="P183" s="448" t="s">
        <v>3713</v>
      </c>
      <c r="Q183" s="448" t="s">
        <v>3714</v>
      </c>
      <c r="R183" s="453" t="s">
        <v>3715</v>
      </c>
      <c r="S183" s="448" t="s">
        <v>3716</v>
      </c>
      <c r="T183" s="448" t="s">
        <v>3717</v>
      </c>
      <c r="U183" s="448" t="s">
        <v>3718</v>
      </c>
      <c r="V183" s="448" t="s">
        <v>3719</v>
      </c>
    </row>
    <row r="184" spans="1:22">
      <c r="A184" s="448">
        <v>184</v>
      </c>
      <c r="B184" s="448" t="str">
        <f t="shared" si="2"/>
        <v>Trad184</v>
      </c>
      <c r="C184" s="449" t="s">
        <v>3720</v>
      </c>
      <c r="D184" s="448" t="s">
        <v>3721</v>
      </c>
      <c r="E184" s="448" t="s">
        <v>3722</v>
      </c>
      <c r="F184" s="448" t="s">
        <v>3723</v>
      </c>
      <c r="G184" s="448" t="s">
        <v>3724</v>
      </c>
      <c r="H184" s="448" t="s">
        <v>3725</v>
      </c>
      <c r="I184" s="448" t="s">
        <v>3726</v>
      </c>
      <c r="J184" s="451" t="s">
        <v>3727</v>
      </c>
      <c r="K184" s="448" t="s">
        <v>3728</v>
      </c>
      <c r="L184" s="448" t="s">
        <v>3729</v>
      </c>
      <c r="M184" s="448" t="s">
        <v>3730</v>
      </c>
      <c r="N184" s="448" t="s">
        <v>3731</v>
      </c>
      <c r="O184" s="448" t="s">
        <v>3732</v>
      </c>
      <c r="P184" s="448" t="s">
        <v>3733</v>
      </c>
      <c r="Q184" s="448" t="s">
        <v>3734</v>
      </c>
      <c r="R184" s="453" t="s">
        <v>3735</v>
      </c>
      <c r="S184" s="448" t="s">
        <v>3736</v>
      </c>
      <c r="T184" s="448" t="s">
        <v>3737</v>
      </c>
      <c r="U184" s="448" t="s">
        <v>3738</v>
      </c>
      <c r="V184" s="448" t="s">
        <v>3739</v>
      </c>
    </row>
    <row r="185" spans="1:22">
      <c r="A185" s="448">
        <v>185</v>
      </c>
      <c r="B185" s="448" t="str">
        <f t="shared" si="2"/>
        <v>Trad185</v>
      </c>
      <c r="C185" s="449" t="s">
        <v>3740</v>
      </c>
      <c r="D185" s="448" t="s">
        <v>3741</v>
      </c>
      <c r="E185" s="448" t="s">
        <v>3742</v>
      </c>
      <c r="F185" s="448" t="s">
        <v>3743</v>
      </c>
      <c r="G185" s="448" t="s">
        <v>3744</v>
      </c>
      <c r="H185" s="448" t="s">
        <v>3745</v>
      </c>
      <c r="I185" s="448" t="s">
        <v>3746</v>
      </c>
      <c r="J185" s="451" t="s">
        <v>3747</v>
      </c>
      <c r="K185" s="448" t="s">
        <v>3748</v>
      </c>
      <c r="L185" s="448" t="s">
        <v>3749</v>
      </c>
      <c r="M185" s="448" t="s">
        <v>3750</v>
      </c>
      <c r="N185" s="448" t="s">
        <v>3751</v>
      </c>
      <c r="O185" s="448" t="s">
        <v>3752</v>
      </c>
      <c r="P185" s="448" t="s">
        <v>3753</v>
      </c>
      <c r="Q185" s="448" t="s">
        <v>3754</v>
      </c>
      <c r="R185" s="453" t="s">
        <v>3755</v>
      </c>
      <c r="S185" s="448" t="s">
        <v>3756</v>
      </c>
      <c r="T185" s="448" t="s">
        <v>3757</v>
      </c>
      <c r="U185" s="448" t="s">
        <v>3758</v>
      </c>
      <c r="V185" s="448" t="s">
        <v>3759</v>
      </c>
    </row>
    <row r="186" spans="1:22">
      <c r="A186" s="448">
        <v>186</v>
      </c>
      <c r="B186" s="448" t="str">
        <f t="shared" si="2"/>
        <v>Trad186</v>
      </c>
      <c r="C186" s="449" t="s">
        <v>3760</v>
      </c>
      <c r="D186" s="448" t="s">
        <v>3761</v>
      </c>
      <c r="E186" s="448" t="s">
        <v>3762</v>
      </c>
      <c r="F186" s="448" t="s">
        <v>3763</v>
      </c>
      <c r="G186" s="448" t="s">
        <v>3764</v>
      </c>
      <c r="H186" s="448" t="s">
        <v>3765</v>
      </c>
      <c r="I186" s="448" t="s">
        <v>3766</v>
      </c>
      <c r="J186" s="451" t="s">
        <v>3767</v>
      </c>
      <c r="K186" s="448" t="s">
        <v>3768</v>
      </c>
      <c r="L186" s="448" t="s">
        <v>3769</v>
      </c>
      <c r="M186" s="448" t="s">
        <v>3770</v>
      </c>
      <c r="N186" s="448" t="s">
        <v>3771</v>
      </c>
      <c r="O186" s="448" t="s">
        <v>3772</v>
      </c>
      <c r="P186" s="448" t="s">
        <v>3773</v>
      </c>
      <c r="Q186" s="448" t="s">
        <v>3773</v>
      </c>
      <c r="R186" s="453" t="s">
        <v>3774</v>
      </c>
      <c r="S186" s="448" t="s">
        <v>3775</v>
      </c>
      <c r="T186" s="448" t="s">
        <v>3776</v>
      </c>
      <c r="U186" s="448" t="s">
        <v>3777</v>
      </c>
      <c r="V186" s="448" t="s">
        <v>3778</v>
      </c>
    </row>
    <row r="187" spans="1:22">
      <c r="A187" s="448">
        <v>187</v>
      </c>
      <c r="B187" s="448" t="str">
        <f t="shared" si="2"/>
        <v>Trad187</v>
      </c>
      <c r="C187" s="449" t="s">
        <v>3779</v>
      </c>
      <c r="D187" s="448" t="s">
        <v>3780</v>
      </c>
      <c r="E187" s="448" t="s">
        <v>3781</v>
      </c>
      <c r="F187" s="448" t="s">
        <v>3782</v>
      </c>
      <c r="G187" s="448" t="s">
        <v>3783</v>
      </c>
      <c r="H187" s="448" t="s">
        <v>3784</v>
      </c>
      <c r="I187" s="448" t="s">
        <v>3785</v>
      </c>
      <c r="J187" s="451" t="s">
        <v>3786</v>
      </c>
      <c r="K187" s="448" t="s">
        <v>3787</v>
      </c>
      <c r="L187" s="448" t="s">
        <v>3788</v>
      </c>
      <c r="M187" s="448" t="s">
        <v>3789</v>
      </c>
      <c r="N187" s="448" t="s">
        <v>3790</v>
      </c>
      <c r="O187" s="448" t="s">
        <v>3791</v>
      </c>
      <c r="P187" s="448" t="s">
        <v>3780</v>
      </c>
      <c r="Q187" s="448" t="s">
        <v>3792</v>
      </c>
      <c r="R187" s="453" t="s">
        <v>3793</v>
      </c>
      <c r="S187" s="448" t="s">
        <v>3794</v>
      </c>
      <c r="T187" s="448" t="s">
        <v>3795</v>
      </c>
      <c r="U187" s="448" t="s">
        <v>3796</v>
      </c>
      <c r="V187" s="448" t="s">
        <v>3797</v>
      </c>
    </row>
    <row r="188" spans="1:22">
      <c r="A188" s="448">
        <v>188</v>
      </c>
      <c r="B188" s="448" t="str">
        <f t="shared" si="2"/>
        <v>Trad188</v>
      </c>
      <c r="C188" s="449" t="s">
        <v>3798</v>
      </c>
      <c r="D188" s="448" t="s">
        <v>3799</v>
      </c>
      <c r="E188" s="448" t="s">
        <v>3800</v>
      </c>
      <c r="F188" s="448" t="s">
        <v>3801</v>
      </c>
      <c r="G188" s="448" t="s">
        <v>3802</v>
      </c>
      <c r="H188" s="448" t="s">
        <v>3803</v>
      </c>
      <c r="I188" s="448" t="s">
        <v>3804</v>
      </c>
      <c r="J188" s="451" t="s">
        <v>3805</v>
      </c>
      <c r="K188" s="448" t="s">
        <v>3806</v>
      </c>
      <c r="L188" s="448" t="s">
        <v>3807</v>
      </c>
      <c r="M188" s="448" t="s">
        <v>1257</v>
      </c>
      <c r="N188" s="448" t="s">
        <v>3808</v>
      </c>
      <c r="O188" s="448" t="s">
        <v>3809</v>
      </c>
      <c r="P188" s="448" t="s">
        <v>3810</v>
      </c>
      <c r="Q188" s="448" t="s">
        <v>3811</v>
      </c>
      <c r="R188" s="453" t="s">
        <v>3812</v>
      </c>
      <c r="S188" s="448" t="s">
        <v>3813</v>
      </c>
      <c r="T188" s="448" t="s">
        <v>3814</v>
      </c>
      <c r="U188" s="448" t="s">
        <v>3815</v>
      </c>
      <c r="V188" s="448" t="s">
        <v>3816</v>
      </c>
    </row>
    <row r="189" spans="1:22">
      <c r="A189" s="448">
        <v>189</v>
      </c>
      <c r="B189" s="448" t="str">
        <f t="shared" si="2"/>
        <v>Trad189</v>
      </c>
      <c r="C189" s="449" t="s">
        <v>3817</v>
      </c>
      <c r="D189" s="448" t="s">
        <v>3818</v>
      </c>
      <c r="E189" s="448" t="s">
        <v>3819</v>
      </c>
      <c r="F189" s="448" t="s">
        <v>3820</v>
      </c>
      <c r="G189" s="448" t="s">
        <v>3821</v>
      </c>
      <c r="H189" s="448" t="s">
        <v>3822</v>
      </c>
      <c r="I189" s="448" t="s">
        <v>3823</v>
      </c>
      <c r="J189" s="451" t="s">
        <v>3824</v>
      </c>
      <c r="K189" s="448" t="s">
        <v>3825</v>
      </c>
      <c r="L189" s="448" t="s">
        <v>3826</v>
      </c>
      <c r="M189" s="448" t="s">
        <v>3827</v>
      </c>
      <c r="N189" s="448" t="s">
        <v>3828</v>
      </c>
      <c r="O189" s="448" t="s">
        <v>3829</v>
      </c>
      <c r="P189" s="448" t="s">
        <v>3830</v>
      </c>
      <c r="Q189" s="448" t="s">
        <v>3831</v>
      </c>
      <c r="R189" s="453" t="s">
        <v>3832</v>
      </c>
      <c r="S189" s="448" t="s">
        <v>3833</v>
      </c>
      <c r="T189" s="448" t="s">
        <v>3834</v>
      </c>
      <c r="U189" s="448" t="s">
        <v>3835</v>
      </c>
      <c r="V189" s="448" t="s">
        <v>3836</v>
      </c>
    </row>
    <row r="190" spans="1:22">
      <c r="A190" s="448">
        <v>190</v>
      </c>
      <c r="B190" s="448" t="str">
        <f t="shared" si="2"/>
        <v>Trad190</v>
      </c>
      <c r="C190" s="449" t="s">
        <v>3837</v>
      </c>
      <c r="D190" s="448" t="s">
        <v>3838</v>
      </c>
      <c r="E190" s="448" t="s">
        <v>3839</v>
      </c>
      <c r="F190" s="448" t="s">
        <v>3840</v>
      </c>
      <c r="G190" s="448" t="s">
        <v>3841</v>
      </c>
      <c r="H190" s="448" t="s">
        <v>3842</v>
      </c>
      <c r="I190" s="448" t="s">
        <v>3843</v>
      </c>
      <c r="J190" s="451" t="s">
        <v>3844</v>
      </c>
      <c r="K190" s="448" t="s">
        <v>3845</v>
      </c>
      <c r="L190" s="448" t="s">
        <v>3846</v>
      </c>
      <c r="M190" s="448" t="s">
        <v>3847</v>
      </c>
      <c r="N190" s="448" t="s">
        <v>3848</v>
      </c>
      <c r="O190" s="448" t="s">
        <v>3849</v>
      </c>
      <c r="P190" s="448" t="s">
        <v>3850</v>
      </c>
      <c r="Q190" s="448" t="s">
        <v>3851</v>
      </c>
      <c r="R190" s="453" t="s">
        <v>3852</v>
      </c>
      <c r="S190" s="448" t="s">
        <v>3853</v>
      </c>
      <c r="T190" s="448" t="s">
        <v>3854</v>
      </c>
      <c r="U190" s="448" t="s">
        <v>3855</v>
      </c>
      <c r="V190" s="448" t="s">
        <v>3856</v>
      </c>
    </row>
    <row r="191" spans="1:22">
      <c r="A191" s="448">
        <v>191</v>
      </c>
      <c r="B191" s="448" t="str">
        <f t="shared" si="2"/>
        <v>Trad191</v>
      </c>
      <c r="C191" s="449" t="s">
        <v>3857</v>
      </c>
      <c r="D191" s="448" t="s">
        <v>3858</v>
      </c>
      <c r="E191" s="448" t="s">
        <v>3859</v>
      </c>
      <c r="F191" s="448" t="s">
        <v>3860</v>
      </c>
      <c r="G191" s="448" t="s">
        <v>3861</v>
      </c>
      <c r="H191" s="448" t="s">
        <v>3862</v>
      </c>
      <c r="I191" s="448" t="s">
        <v>3863</v>
      </c>
      <c r="J191" s="451" t="s">
        <v>3864</v>
      </c>
      <c r="K191" s="448" t="s">
        <v>3865</v>
      </c>
      <c r="L191" s="448" t="s">
        <v>3866</v>
      </c>
      <c r="M191" s="448" t="s">
        <v>3867</v>
      </c>
      <c r="N191" s="448" t="s">
        <v>3868</v>
      </c>
      <c r="O191" s="448" t="s">
        <v>3869</v>
      </c>
      <c r="P191" s="448" t="s">
        <v>3870</v>
      </c>
      <c r="Q191" s="448" t="s">
        <v>3871</v>
      </c>
      <c r="R191" s="453" t="s">
        <v>3872</v>
      </c>
      <c r="S191" s="448" t="s">
        <v>3873</v>
      </c>
      <c r="T191" s="448" t="s">
        <v>3874</v>
      </c>
      <c r="U191" s="448" t="s">
        <v>3875</v>
      </c>
      <c r="V191" s="448" t="s">
        <v>3876</v>
      </c>
    </row>
    <row r="192" spans="1:22">
      <c r="A192" s="448">
        <v>192</v>
      </c>
      <c r="B192" s="448" t="str">
        <f t="shared" si="2"/>
        <v>Trad192</v>
      </c>
      <c r="C192" s="449" t="s">
        <v>3877</v>
      </c>
      <c r="D192" s="448" t="s">
        <v>3878</v>
      </c>
      <c r="E192" s="448" t="s">
        <v>3879</v>
      </c>
      <c r="F192" s="448" t="s">
        <v>3880</v>
      </c>
      <c r="G192" s="448" t="s">
        <v>3881</v>
      </c>
      <c r="H192" s="448" t="s">
        <v>3882</v>
      </c>
      <c r="I192" s="448" t="s">
        <v>3883</v>
      </c>
      <c r="J192" s="451" t="s">
        <v>3884</v>
      </c>
      <c r="K192" s="448" t="s">
        <v>3885</v>
      </c>
      <c r="L192" s="448" t="s">
        <v>3886</v>
      </c>
      <c r="M192" s="448" t="s">
        <v>3887</v>
      </c>
      <c r="N192" s="448" t="s">
        <v>3888</v>
      </c>
      <c r="O192" s="448" t="s">
        <v>3889</v>
      </c>
      <c r="P192" s="448" t="s">
        <v>3890</v>
      </c>
      <c r="Q192" s="448" t="s">
        <v>3891</v>
      </c>
      <c r="R192" s="453" t="s">
        <v>3892</v>
      </c>
      <c r="S192" s="448" t="s">
        <v>3893</v>
      </c>
      <c r="T192" s="448" t="s">
        <v>3894</v>
      </c>
      <c r="U192" s="448" t="s">
        <v>3895</v>
      </c>
      <c r="V192" s="448" t="s">
        <v>3896</v>
      </c>
    </row>
    <row r="193" spans="1:22">
      <c r="A193" s="448">
        <v>193</v>
      </c>
      <c r="B193" s="448" t="str">
        <f t="shared" si="2"/>
        <v>Trad193</v>
      </c>
      <c r="C193" s="449" t="s">
        <v>3897</v>
      </c>
      <c r="D193" s="450" t="s">
        <v>3898</v>
      </c>
      <c r="E193" s="448" t="s">
        <v>3899</v>
      </c>
      <c r="F193" s="448" t="s">
        <v>3900</v>
      </c>
      <c r="G193" s="448" t="s">
        <v>3901</v>
      </c>
      <c r="H193" s="448" t="s">
        <v>3902</v>
      </c>
      <c r="I193" s="448" t="s">
        <v>3903</v>
      </c>
      <c r="J193" s="451" t="s">
        <v>3904</v>
      </c>
      <c r="K193" s="448" t="s">
        <v>3905</v>
      </c>
      <c r="L193" s="448" t="s">
        <v>3906</v>
      </c>
      <c r="M193" s="448" t="s">
        <v>3907</v>
      </c>
      <c r="N193" s="448" t="s">
        <v>3908</v>
      </c>
      <c r="O193" s="448" t="s">
        <v>3909</v>
      </c>
      <c r="P193" s="448" t="s">
        <v>3910</v>
      </c>
      <c r="Q193" s="448" t="s">
        <v>3911</v>
      </c>
      <c r="R193" s="453" t="s">
        <v>3912</v>
      </c>
      <c r="S193" s="448" t="s">
        <v>3913</v>
      </c>
      <c r="T193" s="448" t="s">
        <v>3914</v>
      </c>
      <c r="U193" s="448" t="s">
        <v>3915</v>
      </c>
      <c r="V193" s="448" t="s">
        <v>3916</v>
      </c>
    </row>
    <row r="194" spans="1:22">
      <c r="A194" s="448">
        <v>194</v>
      </c>
      <c r="B194" s="448" t="str">
        <f t="shared" ref="B194:B257" si="3">+_xlfn.CONCAT("Trad",A194)</f>
        <v>Trad194</v>
      </c>
      <c r="C194" s="449" t="s">
        <v>3917</v>
      </c>
      <c r="D194" s="448" t="s">
        <v>3918</v>
      </c>
      <c r="E194" s="448" t="s">
        <v>3919</v>
      </c>
      <c r="F194" s="448" t="s">
        <v>3920</v>
      </c>
      <c r="G194" s="448" t="s">
        <v>3921</v>
      </c>
      <c r="H194" s="448" t="s">
        <v>3922</v>
      </c>
      <c r="I194" s="448" t="s">
        <v>3923</v>
      </c>
      <c r="J194" s="451" t="s">
        <v>3924</v>
      </c>
      <c r="K194" s="448" t="s">
        <v>3925</v>
      </c>
      <c r="L194" s="448" t="s">
        <v>3926</v>
      </c>
      <c r="M194" s="448" t="s">
        <v>3927</v>
      </c>
      <c r="N194" s="448" t="s">
        <v>3928</v>
      </c>
      <c r="O194" s="448" t="s">
        <v>3929</v>
      </c>
      <c r="P194" s="448" t="s">
        <v>3930</v>
      </c>
      <c r="Q194" s="448" t="s">
        <v>3931</v>
      </c>
      <c r="R194" s="453" t="s">
        <v>3932</v>
      </c>
      <c r="S194" s="448" t="s">
        <v>3933</v>
      </c>
      <c r="T194" s="448" t="s">
        <v>3934</v>
      </c>
      <c r="U194" s="448" t="s">
        <v>3935</v>
      </c>
      <c r="V194" s="448" t="s">
        <v>3936</v>
      </c>
    </row>
    <row r="195" spans="1:22">
      <c r="A195" s="448">
        <v>195</v>
      </c>
      <c r="B195" s="448" t="str">
        <f t="shared" si="3"/>
        <v>Trad195</v>
      </c>
      <c r="C195" s="449" t="s">
        <v>3937</v>
      </c>
      <c r="D195" s="448" t="s">
        <v>3938</v>
      </c>
      <c r="E195" s="448" t="s">
        <v>3939</v>
      </c>
      <c r="F195" s="448" t="s">
        <v>3940</v>
      </c>
      <c r="G195" s="448" t="s">
        <v>3941</v>
      </c>
      <c r="H195" s="448" t="s">
        <v>3942</v>
      </c>
      <c r="I195" s="448" t="s">
        <v>3943</v>
      </c>
      <c r="J195" s="451" t="s">
        <v>3944</v>
      </c>
      <c r="K195" s="448" t="s">
        <v>3945</v>
      </c>
      <c r="L195" s="448" t="s">
        <v>3946</v>
      </c>
      <c r="M195" s="448" t="s">
        <v>3947</v>
      </c>
      <c r="N195" s="448" t="s">
        <v>3948</v>
      </c>
      <c r="O195" s="448" t="s">
        <v>3949</v>
      </c>
      <c r="P195" s="448" t="s">
        <v>3944</v>
      </c>
      <c r="Q195" s="448" t="s">
        <v>3950</v>
      </c>
      <c r="R195" s="453" t="s">
        <v>3951</v>
      </c>
      <c r="S195" s="448" t="s">
        <v>3952</v>
      </c>
      <c r="T195" s="448" t="s">
        <v>3953</v>
      </c>
      <c r="U195" s="448" t="s">
        <v>3954</v>
      </c>
      <c r="V195" s="448" t="s">
        <v>3955</v>
      </c>
    </row>
    <row r="196" spans="1:22">
      <c r="A196" s="448">
        <v>196</v>
      </c>
      <c r="B196" s="448" t="str">
        <f t="shared" si="3"/>
        <v>Trad196</v>
      </c>
      <c r="C196" s="449" t="s">
        <v>3956</v>
      </c>
      <c r="D196" s="450" t="s">
        <v>3957</v>
      </c>
      <c r="E196" s="448" t="s">
        <v>3958</v>
      </c>
      <c r="F196" s="448" t="s">
        <v>3959</v>
      </c>
      <c r="G196" s="448" t="s">
        <v>3960</v>
      </c>
      <c r="H196" s="448" t="s">
        <v>3961</v>
      </c>
      <c r="I196" s="448" t="s">
        <v>3962</v>
      </c>
      <c r="J196" s="451" t="s">
        <v>3963</v>
      </c>
      <c r="K196" s="448" t="s">
        <v>3964</v>
      </c>
      <c r="L196" s="448" t="s">
        <v>3965</v>
      </c>
      <c r="M196" s="448" t="s">
        <v>3966</v>
      </c>
      <c r="N196" s="448" t="s">
        <v>3967</v>
      </c>
      <c r="O196" s="448" t="s">
        <v>3968</v>
      </c>
      <c r="P196" s="448" t="s">
        <v>3969</v>
      </c>
      <c r="Q196" s="448" t="s">
        <v>3970</v>
      </c>
      <c r="R196" s="453" t="s">
        <v>3971</v>
      </c>
      <c r="S196" s="448" t="s">
        <v>3972</v>
      </c>
      <c r="T196" s="448" t="s">
        <v>3973</v>
      </c>
      <c r="U196" s="448" t="s">
        <v>3974</v>
      </c>
      <c r="V196" s="448" t="s">
        <v>3975</v>
      </c>
    </row>
    <row r="197" spans="1:22">
      <c r="A197" s="448">
        <v>197</v>
      </c>
      <c r="B197" s="448" t="str">
        <f t="shared" si="3"/>
        <v>Trad197</v>
      </c>
      <c r="C197" s="449" t="s">
        <v>3976</v>
      </c>
      <c r="D197" s="448" t="s">
        <v>3977</v>
      </c>
      <c r="E197" s="448" t="s">
        <v>3978</v>
      </c>
      <c r="F197" s="448" t="s">
        <v>3979</v>
      </c>
      <c r="G197" s="448" t="s">
        <v>3980</v>
      </c>
      <c r="H197" s="448" t="s">
        <v>3981</v>
      </c>
      <c r="I197" s="448" t="s">
        <v>3982</v>
      </c>
      <c r="J197" s="451" t="s">
        <v>3983</v>
      </c>
      <c r="K197" s="448" t="s">
        <v>3984</v>
      </c>
      <c r="L197" s="448" t="s">
        <v>3985</v>
      </c>
      <c r="M197" s="448" t="s">
        <v>3986</v>
      </c>
      <c r="N197" s="448" t="s">
        <v>3987</v>
      </c>
      <c r="O197" s="448" t="s">
        <v>3988</v>
      </c>
      <c r="P197" s="448" t="s">
        <v>3989</v>
      </c>
      <c r="Q197" s="448" t="s">
        <v>3990</v>
      </c>
      <c r="R197" s="453" t="s">
        <v>3991</v>
      </c>
      <c r="S197" s="448" t="s">
        <v>3992</v>
      </c>
      <c r="T197" s="448" t="s">
        <v>3993</v>
      </c>
      <c r="U197" s="448" t="s">
        <v>3994</v>
      </c>
      <c r="V197" s="448" t="s">
        <v>3995</v>
      </c>
    </row>
    <row r="198" spans="1:22">
      <c r="A198" s="448">
        <v>198</v>
      </c>
      <c r="B198" s="448" t="str">
        <f t="shared" si="3"/>
        <v>Trad198</v>
      </c>
      <c r="C198" s="449" t="s">
        <v>3996</v>
      </c>
      <c r="D198" s="448" t="s">
        <v>3997</v>
      </c>
      <c r="E198" s="448" t="s">
        <v>3998</v>
      </c>
      <c r="F198" s="448" t="s">
        <v>3999</v>
      </c>
      <c r="G198" s="448" t="s">
        <v>4000</v>
      </c>
      <c r="H198" s="448" t="s">
        <v>4001</v>
      </c>
      <c r="I198" s="448" t="s">
        <v>4002</v>
      </c>
      <c r="J198" s="451" t="s">
        <v>4003</v>
      </c>
      <c r="K198" s="448" t="s">
        <v>4004</v>
      </c>
      <c r="L198" s="448" t="s">
        <v>4005</v>
      </c>
      <c r="M198" s="448" t="s">
        <v>4006</v>
      </c>
      <c r="N198" s="448" t="s">
        <v>4007</v>
      </c>
      <c r="O198" s="448" t="s">
        <v>4008</v>
      </c>
      <c r="P198" s="448" t="s">
        <v>4009</v>
      </c>
      <c r="Q198" s="448" t="s">
        <v>4010</v>
      </c>
      <c r="R198" s="453" t="s">
        <v>4011</v>
      </c>
      <c r="S198" s="448" t="s">
        <v>4012</v>
      </c>
      <c r="T198" s="448" t="s">
        <v>4013</v>
      </c>
      <c r="U198" s="448" t="s">
        <v>4014</v>
      </c>
      <c r="V198" s="448" t="s">
        <v>4015</v>
      </c>
    </row>
    <row r="199" spans="1:22">
      <c r="A199" s="448">
        <v>199</v>
      </c>
      <c r="B199" s="448" t="str">
        <f t="shared" si="3"/>
        <v>Trad199</v>
      </c>
      <c r="C199" s="449" t="s">
        <v>4016</v>
      </c>
      <c r="D199" s="448" t="s">
        <v>4017</v>
      </c>
      <c r="E199" s="448" t="s">
        <v>4018</v>
      </c>
      <c r="F199" s="448" t="s">
        <v>4019</v>
      </c>
      <c r="G199" s="448" t="s">
        <v>4020</v>
      </c>
      <c r="H199" s="448" t="s">
        <v>4021</v>
      </c>
      <c r="I199" s="448" t="s">
        <v>4022</v>
      </c>
      <c r="J199" s="451" t="s">
        <v>4023</v>
      </c>
      <c r="K199" s="448" t="s">
        <v>4024</v>
      </c>
      <c r="L199" s="448" t="s">
        <v>4025</v>
      </c>
      <c r="M199" s="448" t="s">
        <v>4026</v>
      </c>
      <c r="N199" s="448" t="s">
        <v>4027</v>
      </c>
      <c r="O199" s="448" t="s">
        <v>4028</v>
      </c>
      <c r="P199" s="448" t="s">
        <v>4029</v>
      </c>
      <c r="Q199" s="448" t="s">
        <v>4030</v>
      </c>
      <c r="R199" s="453" t="s">
        <v>4031</v>
      </c>
      <c r="S199" s="448" t="s">
        <v>4032</v>
      </c>
      <c r="T199" s="448" t="s">
        <v>4033</v>
      </c>
      <c r="U199" s="448" t="s">
        <v>4034</v>
      </c>
      <c r="V199" s="448" t="s">
        <v>4035</v>
      </c>
    </row>
    <row r="200" spans="1:22">
      <c r="A200" s="448">
        <v>200</v>
      </c>
      <c r="B200" s="448" t="str">
        <f t="shared" si="3"/>
        <v>Trad200</v>
      </c>
      <c r="C200" s="449" t="s">
        <v>4036</v>
      </c>
      <c r="D200" s="448" t="s">
        <v>4037</v>
      </c>
      <c r="E200" s="448" t="s">
        <v>4038</v>
      </c>
      <c r="F200" s="448" t="s">
        <v>4039</v>
      </c>
      <c r="G200" s="448" t="s">
        <v>4040</v>
      </c>
      <c r="H200" s="448" t="s">
        <v>4041</v>
      </c>
      <c r="I200" s="448" t="s">
        <v>4042</v>
      </c>
      <c r="J200" s="451" t="s">
        <v>4043</v>
      </c>
      <c r="K200" s="448" t="s">
        <v>4044</v>
      </c>
      <c r="L200" s="448" t="s">
        <v>4045</v>
      </c>
      <c r="M200" s="448" t="s">
        <v>4046</v>
      </c>
      <c r="N200" s="448" t="s">
        <v>4047</v>
      </c>
      <c r="O200" s="448" t="s">
        <v>4048</v>
      </c>
      <c r="P200" s="448" t="s">
        <v>4049</v>
      </c>
      <c r="Q200" s="448" t="s">
        <v>4039</v>
      </c>
      <c r="R200" s="453" t="s">
        <v>4050</v>
      </c>
      <c r="S200" s="448" t="s">
        <v>4051</v>
      </c>
      <c r="T200" s="448" t="s">
        <v>4052</v>
      </c>
      <c r="U200" s="448" t="s">
        <v>4053</v>
      </c>
      <c r="V200" s="448" t="s">
        <v>4054</v>
      </c>
    </row>
    <row r="201" spans="1:22">
      <c r="A201" s="448">
        <v>201</v>
      </c>
      <c r="B201" s="448" t="str">
        <f t="shared" si="3"/>
        <v>Trad201</v>
      </c>
      <c r="C201" s="449" t="s">
        <v>4055</v>
      </c>
      <c r="D201" s="448" t="s">
        <v>4056</v>
      </c>
      <c r="E201" s="448" t="s">
        <v>4057</v>
      </c>
      <c r="F201" s="448" t="s">
        <v>4058</v>
      </c>
      <c r="G201" s="448" t="s">
        <v>4059</v>
      </c>
      <c r="H201" s="448" t="s">
        <v>4060</v>
      </c>
      <c r="I201" s="448" t="s">
        <v>4061</v>
      </c>
      <c r="J201" s="451" t="s">
        <v>4059</v>
      </c>
      <c r="K201" s="448" t="s">
        <v>4062</v>
      </c>
      <c r="L201" s="448" t="s">
        <v>4063</v>
      </c>
      <c r="M201" s="448" t="s">
        <v>4064</v>
      </c>
      <c r="N201" s="448" t="s">
        <v>4065</v>
      </c>
      <c r="O201" s="448" t="s">
        <v>4066</v>
      </c>
      <c r="P201" s="448" t="s">
        <v>4067</v>
      </c>
      <c r="Q201" s="448" t="s">
        <v>4068</v>
      </c>
      <c r="R201" s="453" t="s">
        <v>4069</v>
      </c>
      <c r="S201" s="448" t="s">
        <v>4070</v>
      </c>
      <c r="T201" s="448" t="s">
        <v>4071</v>
      </c>
      <c r="U201" s="448" t="s">
        <v>4072</v>
      </c>
      <c r="V201" s="448" t="s">
        <v>4073</v>
      </c>
    </row>
    <row r="202" spans="1:22">
      <c r="A202" s="448">
        <v>202</v>
      </c>
      <c r="B202" s="448" t="str">
        <f t="shared" si="3"/>
        <v>Trad202</v>
      </c>
      <c r="C202" s="449" t="s">
        <v>4074</v>
      </c>
      <c r="D202" s="448" t="s">
        <v>4075</v>
      </c>
      <c r="E202" s="448" t="s">
        <v>4076</v>
      </c>
      <c r="F202" s="448" t="s">
        <v>4077</v>
      </c>
      <c r="G202" s="448" t="s">
        <v>4078</v>
      </c>
      <c r="H202" s="448" t="s">
        <v>4079</v>
      </c>
      <c r="I202" s="448" t="s">
        <v>4080</v>
      </c>
      <c r="J202" s="451" t="s">
        <v>4081</v>
      </c>
      <c r="K202" s="448" t="s">
        <v>4081</v>
      </c>
      <c r="L202" s="448" t="s">
        <v>4082</v>
      </c>
      <c r="M202" s="448" t="s">
        <v>4083</v>
      </c>
      <c r="N202" s="448" t="s">
        <v>4084</v>
      </c>
      <c r="O202" s="448" t="s">
        <v>4085</v>
      </c>
      <c r="P202" s="448" t="s">
        <v>4086</v>
      </c>
      <c r="Q202" s="448" t="s">
        <v>4077</v>
      </c>
      <c r="R202" s="453" t="s">
        <v>4087</v>
      </c>
      <c r="S202" s="448" t="s">
        <v>4088</v>
      </c>
      <c r="T202" s="448" t="s">
        <v>4089</v>
      </c>
      <c r="U202" s="448" t="s">
        <v>4090</v>
      </c>
      <c r="V202" s="448" t="s">
        <v>4091</v>
      </c>
    </row>
    <row r="203" spans="1:22">
      <c r="A203" s="448">
        <v>203</v>
      </c>
      <c r="B203" s="448" t="str">
        <f t="shared" si="3"/>
        <v>Trad203</v>
      </c>
      <c r="C203" s="449" t="s">
        <v>4092</v>
      </c>
      <c r="D203" s="450" t="s">
        <v>4093</v>
      </c>
      <c r="E203" s="448" t="s">
        <v>4094</v>
      </c>
      <c r="F203" s="448" t="s">
        <v>4095</v>
      </c>
      <c r="G203" s="448" t="s">
        <v>4096</v>
      </c>
      <c r="H203" s="448" t="s">
        <v>4097</v>
      </c>
      <c r="I203" s="448" t="s">
        <v>4098</v>
      </c>
      <c r="J203" s="451" t="s">
        <v>4099</v>
      </c>
      <c r="K203" s="448" t="s">
        <v>4100</v>
      </c>
      <c r="L203" s="448" t="s">
        <v>4101</v>
      </c>
      <c r="M203" s="448" t="s">
        <v>4102</v>
      </c>
      <c r="N203" s="448" t="s">
        <v>4103</v>
      </c>
      <c r="O203" s="448" t="s">
        <v>4104</v>
      </c>
      <c r="P203" s="448" t="s">
        <v>4105</v>
      </c>
      <c r="Q203" s="448" t="s">
        <v>4106</v>
      </c>
      <c r="R203" s="453" t="s">
        <v>4107</v>
      </c>
      <c r="S203" s="448" t="s">
        <v>4108</v>
      </c>
      <c r="T203" s="448" t="s">
        <v>4109</v>
      </c>
      <c r="U203" s="448" t="s">
        <v>591</v>
      </c>
      <c r="V203" s="448" t="s">
        <v>4110</v>
      </c>
    </row>
    <row r="204" spans="1:22">
      <c r="A204" s="448">
        <v>204</v>
      </c>
      <c r="B204" s="448" t="str">
        <f t="shared" si="3"/>
        <v>Trad204</v>
      </c>
      <c r="C204" s="449" t="s">
        <v>4111</v>
      </c>
      <c r="D204" s="448" t="s">
        <v>4112</v>
      </c>
      <c r="E204" s="448" t="s">
        <v>4113</v>
      </c>
      <c r="F204" s="448" t="s">
        <v>4114</v>
      </c>
      <c r="G204" s="448" t="s">
        <v>4115</v>
      </c>
      <c r="H204" s="448" t="s">
        <v>4116</v>
      </c>
      <c r="I204" s="448" t="s">
        <v>4117</v>
      </c>
      <c r="J204" s="451" t="s">
        <v>4118</v>
      </c>
      <c r="K204" s="448" t="s">
        <v>4119</v>
      </c>
      <c r="L204" s="448" t="s">
        <v>4120</v>
      </c>
      <c r="M204" s="448" t="s">
        <v>4121</v>
      </c>
      <c r="N204" s="448" t="s">
        <v>4122</v>
      </c>
      <c r="O204" s="448" t="s">
        <v>4123</v>
      </c>
      <c r="P204" s="448" t="s">
        <v>4124</v>
      </c>
      <c r="Q204" s="448" t="s">
        <v>4125</v>
      </c>
      <c r="R204" s="453" t="s">
        <v>4126</v>
      </c>
      <c r="S204" s="448" t="s">
        <v>4127</v>
      </c>
      <c r="T204" s="448" t="s">
        <v>4128</v>
      </c>
      <c r="U204" s="448" t="s">
        <v>4129</v>
      </c>
      <c r="V204" s="448" t="s">
        <v>4130</v>
      </c>
    </row>
    <row r="205" spans="1:22">
      <c r="A205" s="448">
        <v>205</v>
      </c>
      <c r="B205" s="448" t="str">
        <f t="shared" si="3"/>
        <v>Trad205</v>
      </c>
      <c r="C205" s="449" t="s">
        <v>4131</v>
      </c>
      <c r="D205" s="448" t="s">
        <v>4132</v>
      </c>
      <c r="E205" s="448" t="s">
        <v>4133</v>
      </c>
      <c r="F205" s="448" t="s">
        <v>4134</v>
      </c>
      <c r="G205" s="448" t="s">
        <v>4135</v>
      </c>
      <c r="H205" s="448" t="s">
        <v>4136</v>
      </c>
      <c r="I205" s="448" t="s">
        <v>4137</v>
      </c>
      <c r="J205" s="451" t="s">
        <v>4138</v>
      </c>
      <c r="K205" s="448" t="s">
        <v>4139</v>
      </c>
      <c r="L205" s="448" t="s">
        <v>4140</v>
      </c>
      <c r="M205" s="448" t="s">
        <v>4141</v>
      </c>
      <c r="N205" s="448" t="s">
        <v>4142</v>
      </c>
      <c r="O205" s="448" t="s">
        <v>4143</v>
      </c>
      <c r="P205" s="448" t="s">
        <v>4132</v>
      </c>
      <c r="Q205" s="448" t="s">
        <v>4132</v>
      </c>
      <c r="R205" s="453" t="s">
        <v>4144</v>
      </c>
      <c r="S205" s="448" t="s">
        <v>4145</v>
      </c>
      <c r="T205" s="448" t="s">
        <v>4146</v>
      </c>
      <c r="U205" s="448" t="s">
        <v>4147</v>
      </c>
      <c r="V205" s="448" t="s">
        <v>4148</v>
      </c>
    </row>
    <row r="206" spans="1:22">
      <c r="A206" s="448">
        <v>206</v>
      </c>
      <c r="B206" s="448" t="str">
        <f t="shared" si="3"/>
        <v>Trad206</v>
      </c>
      <c r="C206" s="449" t="s">
        <v>4149</v>
      </c>
      <c r="D206" s="448" t="s">
        <v>4150</v>
      </c>
      <c r="E206" s="448" t="s">
        <v>4151</v>
      </c>
      <c r="F206" s="448" t="s">
        <v>4152</v>
      </c>
      <c r="G206" s="448" t="s">
        <v>4153</v>
      </c>
      <c r="H206" s="448" t="s">
        <v>4154</v>
      </c>
      <c r="I206" s="448" t="s">
        <v>4155</v>
      </c>
      <c r="J206" s="451" t="s">
        <v>4156</v>
      </c>
      <c r="K206" s="448" t="s">
        <v>4157</v>
      </c>
      <c r="L206" s="448" t="s">
        <v>4158</v>
      </c>
      <c r="M206" s="448" t="s">
        <v>4159</v>
      </c>
      <c r="N206" s="448" t="s">
        <v>4160</v>
      </c>
      <c r="O206" s="448" t="s">
        <v>4161</v>
      </c>
      <c r="P206" s="448" t="s">
        <v>4150</v>
      </c>
      <c r="Q206" s="448" t="s">
        <v>4162</v>
      </c>
      <c r="R206" s="453" t="s">
        <v>4163</v>
      </c>
      <c r="S206" s="448" t="s">
        <v>4164</v>
      </c>
      <c r="T206" s="448" t="s">
        <v>4165</v>
      </c>
      <c r="U206" s="448" t="s">
        <v>4166</v>
      </c>
      <c r="V206" s="448" t="s">
        <v>4167</v>
      </c>
    </row>
    <row r="207" spans="1:22">
      <c r="A207" s="448">
        <v>207</v>
      </c>
      <c r="B207" s="448" t="str">
        <f t="shared" si="3"/>
        <v>Trad207</v>
      </c>
      <c r="C207" s="449" t="s">
        <v>4168</v>
      </c>
      <c r="D207" s="448" t="s">
        <v>4169</v>
      </c>
      <c r="E207" s="448" t="s">
        <v>4170</v>
      </c>
      <c r="F207" s="448" t="s">
        <v>4171</v>
      </c>
      <c r="G207" s="448" t="s">
        <v>4172</v>
      </c>
      <c r="H207" s="448" t="s">
        <v>4173</v>
      </c>
      <c r="I207" s="448" t="s">
        <v>4174</v>
      </c>
      <c r="J207" s="451" t="s">
        <v>4175</v>
      </c>
      <c r="K207" s="448" t="s">
        <v>4176</v>
      </c>
      <c r="L207" s="448" t="s">
        <v>4177</v>
      </c>
      <c r="M207" s="448" t="s">
        <v>4178</v>
      </c>
      <c r="N207" s="448" t="s">
        <v>4179</v>
      </c>
      <c r="O207" s="448" t="s">
        <v>4180</v>
      </c>
      <c r="P207" s="448" t="s">
        <v>4181</v>
      </c>
      <c r="Q207" s="448" t="s">
        <v>4182</v>
      </c>
      <c r="R207" s="453" t="s">
        <v>4183</v>
      </c>
      <c r="S207" s="448" t="s">
        <v>4184</v>
      </c>
      <c r="T207" s="448" t="s">
        <v>4185</v>
      </c>
      <c r="U207" s="448" t="s">
        <v>4186</v>
      </c>
      <c r="V207" s="448" t="s">
        <v>4187</v>
      </c>
    </row>
    <row r="208" spans="1:22">
      <c r="A208" s="448">
        <v>208</v>
      </c>
      <c r="B208" s="448" t="str">
        <f t="shared" si="3"/>
        <v>Trad208</v>
      </c>
      <c r="C208" s="449" t="s">
        <v>4188</v>
      </c>
      <c r="D208" s="450" t="s">
        <v>4189</v>
      </c>
      <c r="E208" s="448" t="s">
        <v>4190</v>
      </c>
      <c r="F208" s="448" t="s">
        <v>4191</v>
      </c>
      <c r="G208" s="448" t="s">
        <v>4192</v>
      </c>
      <c r="H208" s="448" t="s">
        <v>4193</v>
      </c>
      <c r="I208" s="448" t="s">
        <v>4194</v>
      </c>
      <c r="J208" s="451" t="s">
        <v>4195</v>
      </c>
      <c r="K208" s="448" t="s">
        <v>4196</v>
      </c>
      <c r="L208" s="448" t="s">
        <v>4197</v>
      </c>
      <c r="M208" s="448" t="s">
        <v>4198</v>
      </c>
      <c r="N208" s="448" t="s">
        <v>4199</v>
      </c>
      <c r="O208" s="448" t="s">
        <v>4200</v>
      </c>
      <c r="P208" s="448" t="s">
        <v>4201</v>
      </c>
      <c r="Q208" s="448" t="s">
        <v>4202</v>
      </c>
      <c r="R208" s="453" t="s">
        <v>4203</v>
      </c>
      <c r="S208" s="448" t="s">
        <v>4204</v>
      </c>
      <c r="T208" s="448" t="s">
        <v>4205</v>
      </c>
      <c r="U208" s="448" t="s">
        <v>4206</v>
      </c>
      <c r="V208" s="448" t="s">
        <v>4207</v>
      </c>
    </row>
    <row r="209" spans="1:22">
      <c r="A209" s="448">
        <v>209</v>
      </c>
      <c r="B209" s="448" t="str">
        <f t="shared" si="3"/>
        <v>Trad209</v>
      </c>
      <c r="C209" s="449" t="s">
        <v>4208</v>
      </c>
      <c r="D209" s="450" t="s">
        <v>4209</v>
      </c>
      <c r="E209" s="448" t="s">
        <v>4210</v>
      </c>
      <c r="F209" s="448" t="s">
        <v>4211</v>
      </c>
      <c r="G209" s="448" t="s">
        <v>4212</v>
      </c>
      <c r="H209" s="448" t="s">
        <v>4213</v>
      </c>
      <c r="I209" s="448" t="s">
        <v>4214</v>
      </c>
      <c r="J209" s="451" t="s">
        <v>4215</v>
      </c>
      <c r="K209" s="448" t="s">
        <v>4216</v>
      </c>
      <c r="L209" s="448" t="s">
        <v>4217</v>
      </c>
      <c r="M209" s="448" t="s">
        <v>4218</v>
      </c>
      <c r="N209" s="448" t="s">
        <v>4219</v>
      </c>
      <c r="O209" s="448" t="s">
        <v>4220</v>
      </c>
      <c r="P209" s="448" t="s">
        <v>4221</v>
      </c>
      <c r="Q209" s="448" t="s">
        <v>4222</v>
      </c>
      <c r="R209" s="453" t="s">
        <v>4223</v>
      </c>
      <c r="S209" s="448" t="s">
        <v>4224</v>
      </c>
      <c r="T209" s="448" t="s">
        <v>4225</v>
      </c>
      <c r="U209" s="448" t="s">
        <v>4226</v>
      </c>
      <c r="V209" s="448" t="s">
        <v>4227</v>
      </c>
    </row>
    <row r="210" spans="1:22">
      <c r="A210" s="448">
        <v>210</v>
      </c>
      <c r="B210" s="448" t="str">
        <f t="shared" si="3"/>
        <v>Trad210</v>
      </c>
      <c r="C210" s="449" t="s">
        <v>4228</v>
      </c>
      <c r="D210" s="450" t="s">
        <v>4229</v>
      </c>
      <c r="E210" s="448" t="s">
        <v>4230</v>
      </c>
      <c r="F210" s="448" t="s">
        <v>4231</v>
      </c>
      <c r="G210" s="448" t="s">
        <v>4232</v>
      </c>
      <c r="H210" s="448" t="s">
        <v>4233</v>
      </c>
      <c r="I210" s="448" t="s">
        <v>4234</v>
      </c>
      <c r="J210" s="451" t="s">
        <v>4235</v>
      </c>
      <c r="K210" s="448" t="s">
        <v>4236</v>
      </c>
      <c r="L210" s="448" t="s">
        <v>4237</v>
      </c>
      <c r="M210" s="448" t="s">
        <v>4238</v>
      </c>
      <c r="N210" s="448" t="s">
        <v>4239</v>
      </c>
      <c r="O210" s="448" t="s">
        <v>4240</v>
      </c>
      <c r="P210" s="448" t="s">
        <v>4241</v>
      </c>
      <c r="Q210" s="448" t="s">
        <v>4242</v>
      </c>
      <c r="R210" s="453" t="s">
        <v>4243</v>
      </c>
      <c r="S210" s="448" t="s">
        <v>4244</v>
      </c>
      <c r="T210" s="448" t="s">
        <v>4245</v>
      </c>
      <c r="U210" s="448" t="s">
        <v>4246</v>
      </c>
      <c r="V210" s="448" t="s">
        <v>4247</v>
      </c>
    </row>
    <row r="211" spans="1:22">
      <c r="A211" s="448">
        <v>211</v>
      </c>
      <c r="B211" s="448" t="str">
        <f t="shared" si="3"/>
        <v>Trad211</v>
      </c>
      <c r="C211" s="449" t="s">
        <v>4248</v>
      </c>
      <c r="D211" s="450" t="s">
        <v>4249</v>
      </c>
      <c r="E211" s="448" t="s">
        <v>4250</v>
      </c>
      <c r="F211" s="448" t="s">
        <v>4251</v>
      </c>
      <c r="G211" s="448" t="s">
        <v>4252</v>
      </c>
      <c r="H211" s="448" t="s">
        <v>4253</v>
      </c>
      <c r="I211" s="448" t="s">
        <v>4254</v>
      </c>
      <c r="J211" s="451" t="s">
        <v>4255</v>
      </c>
      <c r="K211" s="448" t="s">
        <v>4256</v>
      </c>
      <c r="L211" s="448" t="s">
        <v>4257</v>
      </c>
      <c r="M211" s="448" t="s">
        <v>4258</v>
      </c>
      <c r="N211" s="448" t="s">
        <v>4259</v>
      </c>
      <c r="O211" s="448" t="s">
        <v>4260</v>
      </c>
      <c r="P211" s="448" t="s">
        <v>4261</v>
      </c>
      <c r="Q211" s="448" t="s">
        <v>4262</v>
      </c>
      <c r="R211" s="453" t="s">
        <v>4263</v>
      </c>
      <c r="S211" s="448" t="s">
        <v>4264</v>
      </c>
      <c r="T211" s="448" t="s">
        <v>4265</v>
      </c>
      <c r="U211" s="448" t="s">
        <v>4266</v>
      </c>
      <c r="V211" s="448" t="s">
        <v>4267</v>
      </c>
    </row>
    <row r="212" spans="1:22">
      <c r="A212" s="448">
        <v>212</v>
      </c>
      <c r="B212" s="448" t="str">
        <f t="shared" si="3"/>
        <v>Trad212</v>
      </c>
      <c r="C212" s="449" t="s">
        <v>4268</v>
      </c>
      <c r="D212" s="450" t="s">
        <v>4269</v>
      </c>
      <c r="E212" s="448" t="s">
        <v>4270</v>
      </c>
      <c r="F212" s="448" t="s">
        <v>4271</v>
      </c>
      <c r="G212" s="448" t="s">
        <v>4272</v>
      </c>
      <c r="H212" s="448" t="s">
        <v>4273</v>
      </c>
      <c r="I212" s="448" t="s">
        <v>4274</v>
      </c>
      <c r="J212" s="451" t="s">
        <v>4275</v>
      </c>
      <c r="K212" s="448" t="s">
        <v>4276</v>
      </c>
      <c r="L212" s="448" t="s">
        <v>4277</v>
      </c>
      <c r="M212" s="448" t="s">
        <v>4278</v>
      </c>
      <c r="N212" s="448" t="s">
        <v>4279</v>
      </c>
      <c r="O212" s="448" t="s">
        <v>4280</v>
      </c>
      <c r="P212" s="448" t="s">
        <v>4281</v>
      </c>
      <c r="Q212" s="448" t="s">
        <v>4282</v>
      </c>
      <c r="R212" s="453" t="s">
        <v>4283</v>
      </c>
      <c r="S212" s="448" t="s">
        <v>4284</v>
      </c>
      <c r="T212" s="448" t="s">
        <v>4285</v>
      </c>
      <c r="U212" s="448" t="s">
        <v>4286</v>
      </c>
      <c r="V212" s="448" t="s">
        <v>4287</v>
      </c>
    </row>
    <row r="213" spans="1:22">
      <c r="A213" s="448">
        <v>213</v>
      </c>
      <c r="B213" s="448" t="str">
        <f t="shared" si="3"/>
        <v>Trad213</v>
      </c>
      <c r="C213" s="449" t="s">
        <v>4288</v>
      </c>
      <c r="D213" s="450" t="s">
        <v>4289</v>
      </c>
      <c r="E213" s="448" t="s">
        <v>4290</v>
      </c>
      <c r="F213" s="448" t="s">
        <v>4291</v>
      </c>
      <c r="G213" s="448" t="s">
        <v>4292</v>
      </c>
      <c r="H213" s="448" t="s">
        <v>4293</v>
      </c>
      <c r="I213" s="448" t="s">
        <v>4294</v>
      </c>
      <c r="J213" s="451" t="s">
        <v>4292</v>
      </c>
      <c r="K213" s="448" t="s">
        <v>4295</v>
      </c>
      <c r="L213" s="448" t="s">
        <v>4296</v>
      </c>
      <c r="M213" s="448" t="s">
        <v>4297</v>
      </c>
      <c r="N213" s="448" t="s">
        <v>4298</v>
      </c>
      <c r="O213" s="448" t="s">
        <v>4299</v>
      </c>
      <c r="P213" s="448" t="s">
        <v>4300</v>
      </c>
      <c r="Q213" s="448" t="s">
        <v>4301</v>
      </c>
      <c r="R213" s="453" t="s">
        <v>4302</v>
      </c>
      <c r="S213" s="448" t="s">
        <v>4292</v>
      </c>
      <c r="T213" s="448" t="s">
        <v>4303</v>
      </c>
      <c r="U213" s="448" t="s">
        <v>4304</v>
      </c>
      <c r="V213" s="448" t="s">
        <v>4305</v>
      </c>
    </row>
    <row r="214" spans="1:22">
      <c r="A214" s="448">
        <v>214</v>
      </c>
      <c r="B214" s="448" t="str">
        <f t="shared" si="3"/>
        <v>Trad214</v>
      </c>
      <c r="C214" s="449" t="s">
        <v>4306</v>
      </c>
      <c r="D214" s="450" t="s">
        <v>4307</v>
      </c>
      <c r="E214" s="448" t="s">
        <v>4308</v>
      </c>
      <c r="F214" s="448" t="s">
        <v>4309</v>
      </c>
      <c r="G214" s="448" t="s">
        <v>4310</v>
      </c>
      <c r="H214" s="448" t="s">
        <v>4311</v>
      </c>
      <c r="I214" s="448" t="s">
        <v>4312</v>
      </c>
      <c r="J214" s="451" t="s">
        <v>4313</v>
      </c>
      <c r="K214" s="448" t="s">
        <v>4314</v>
      </c>
      <c r="L214" s="448" t="s">
        <v>4315</v>
      </c>
      <c r="M214" s="448" t="s">
        <v>4316</v>
      </c>
      <c r="N214" s="448" t="s">
        <v>4317</v>
      </c>
      <c r="O214" s="448" t="s">
        <v>4318</v>
      </c>
      <c r="P214" s="448" t="s">
        <v>4319</v>
      </c>
      <c r="Q214" s="448" t="s">
        <v>4320</v>
      </c>
      <c r="R214" s="453" t="s">
        <v>4321</v>
      </c>
      <c r="S214" s="448" t="s">
        <v>4322</v>
      </c>
      <c r="T214" s="448" t="s">
        <v>4323</v>
      </c>
      <c r="U214" s="448" t="s">
        <v>4324</v>
      </c>
      <c r="V214" s="448" t="s">
        <v>4325</v>
      </c>
    </row>
    <row r="215" spans="1:22">
      <c r="A215" s="448">
        <v>215</v>
      </c>
      <c r="B215" s="448" t="str">
        <f t="shared" si="3"/>
        <v>Trad215</v>
      </c>
      <c r="C215" s="449" t="s">
        <v>4326</v>
      </c>
      <c r="D215" s="448" t="s">
        <v>4327</v>
      </c>
      <c r="E215" s="448" t="s">
        <v>4328</v>
      </c>
      <c r="F215" s="448" t="s">
        <v>4329</v>
      </c>
      <c r="G215" s="448" t="s">
        <v>4330</v>
      </c>
      <c r="H215" s="448" t="s">
        <v>4331</v>
      </c>
      <c r="I215" s="448" t="s">
        <v>4332</v>
      </c>
      <c r="J215" s="451" t="s">
        <v>4333</v>
      </c>
      <c r="K215" s="448" t="s">
        <v>4334</v>
      </c>
      <c r="L215" s="448" t="s">
        <v>4335</v>
      </c>
      <c r="M215" s="448" t="s">
        <v>4336</v>
      </c>
      <c r="N215" s="448" t="s">
        <v>4337</v>
      </c>
      <c r="O215" s="448" t="s">
        <v>4338</v>
      </c>
      <c r="P215" s="448" t="s">
        <v>4339</v>
      </c>
      <c r="Q215" s="448" t="s">
        <v>4340</v>
      </c>
      <c r="R215" s="453" t="s">
        <v>4341</v>
      </c>
      <c r="S215" s="448" t="s">
        <v>4342</v>
      </c>
      <c r="T215" s="448" t="s">
        <v>4343</v>
      </c>
      <c r="U215" s="448" t="s">
        <v>4344</v>
      </c>
      <c r="V215" s="448" t="s">
        <v>4345</v>
      </c>
    </row>
    <row r="216" spans="1:22">
      <c r="A216" s="448">
        <v>216</v>
      </c>
      <c r="B216" s="448" t="str">
        <f t="shared" si="3"/>
        <v>Trad216</v>
      </c>
      <c r="C216" s="449" t="s">
        <v>4346</v>
      </c>
      <c r="D216" s="448" t="s">
        <v>4347</v>
      </c>
      <c r="E216" s="448" t="s">
        <v>4348</v>
      </c>
      <c r="F216" s="448" t="s">
        <v>4349</v>
      </c>
      <c r="G216" s="448" t="s">
        <v>4350</v>
      </c>
      <c r="H216" s="448" t="s">
        <v>4351</v>
      </c>
      <c r="I216" s="448" t="s">
        <v>4352</v>
      </c>
      <c r="J216" s="451" t="s">
        <v>4353</v>
      </c>
      <c r="K216" s="448" t="s">
        <v>4354</v>
      </c>
      <c r="L216" s="448" t="s">
        <v>4355</v>
      </c>
      <c r="M216" s="448" t="s">
        <v>4356</v>
      </c>
      <c r="N216" s="448" t="s">
        <v>4357</v>
      </c>
      <c r="O216" s="448" t="s">
        <v>4358</v>
      </c>
      <c r="P216" s="448" t="s">
        <v>4359</v>
      </c>
      <c r="Q216" s="448" t="s">
        <v>4360</v>
      </c>
      <c r="R216" s="453" t="s">
        <v>4361</v>
      </c>
      <c r="S216" s="448" t="s">
        <v>4362</v>
      </c>
      <c r="T216" s="448" t="s">
        <v>4363</v>
      </c>
      <c r="U216" s="448" t="s">
        <v>4364</v>
      </c>
      <c r="V216" s="448" t="s">
        <v>4365</v>
      </c>
    </row>
    <row r="217" spans="1:22">
      <c r="A217" s="448">
        <v>217</v>
      </c>
      <c r="B217" s="448" t="str">
        <f t="shared" si="3"/>
        <v>Trad217</v>
      </c>
      <c r="C217" s="449" t="s">
        <v>4366</v>
      </c>
      <c r="D217" s="448" t="s">
        <v>4367</v>
      </c>
      <c r="E217" s="448" t="s">
        <v>4368</v>
      </c>
      <c r="F217" s="448" t="s">
        <v>4369</v>
      </c>
      <c r="G217" s="448" t="s">
        <v>4370</v>
      </c>
      <c r="H217" s="448" t="s">
        <v>4371</v>
      </c>
      <c r="I217" s="448" t="s">
        <v>4372</v>
      </c>
      <c r="J217" s="451" t="s">
        <v>4373</v>
      </c>
      <c r="K217" s="448" t="s">
        <v>4374</v>
      </c>
      <c r="L217" s="448" t="s">
        <v>4375</v>
      </c>
      <c r="M217" s="448" t="s">
        <v>4376</v>
      </c>
      <c r="N217" s="448" t="s">
        <v>4377</v>
      </c>
      <c r="O217" s="448" t="s">
        <v>4378</v>
      </c>
      <c r="P217" s="448" t="s">
        <v>4379</v>
      </c>
      <c r="Q217" s="448" t="s">
        <v>4380</v>
      </c>
      <c r="R217" s="453" t="s">
        <v>4381</v>
      </c>
      <c r="S217" s="448" t="s">
        <v>4382</v>
      </c>
      <c r="T217" s="448" t="s">
        <v>4383</v>
      </c>
      <c r="U217" s="448" t="s">
        <v>4384</v>
      </c>
      <c r="V217" s="448" t="s">
        <v>4385</v>
      </c>
    </row>
    <row r="218" spans="1:22">
      <c r="A218" s="448">
        <v>218</v>
      </c>
      <c r="B218" s="448" t="str">
        <f t="shared" si="3"/>
        <v>Trad218</v>
      </c>
      <c r="C218" s="449" t="s">
        <v>4386</v>
      </c>
      <c r="D218" s="448" t="s">
        <v>4387</v>
      </c>
      <c r="E218" s="448" t="s">
        <v>4388</v>
      </c>
      <c r="F218" s="448" t="s">
        <v>4389</v>
      </c>
      <c r="G218" s="448" t="s">
        <v>4390</v>
      </c>
      <c r="H218" s="448" t="s">
        <v>4391</v>
      </c>
      <c r="I218" s="448" t="s">
        <v>4392</v>
      </c>
      <c r="J218" s="451" t="s">
        <v>4393</v>
      </c>
      <c r="K218" s="448" t="s">
        <v>4394</v>
      </c>
      <c r="L218" s="448" t="s">
        <v>4395</v>
      </c>
      <c r="M218" s="448" t="s">
        <v>4396</v>
      </c>
      <c r="N218" s="448" t="s">
        <v>4397</v>
      </c>
      <c r="O218" s="448" t="s">
        <v>4398</v>
      </c>
      <c r="P218" s="448" t="s">
        <v>4399</v>
      </c>
      <c r="Q218" s="448" t="s">
        <v>4400</v>
      </c>
      <c r="R218" s="453" t="s">
        <v>4401</v>
      </c>
      <c r="S218" s="448" t="s">
        <v>4402</v>
      </c>
      <c r="T218" s="448" t="s">
        <v>4403</v>
      </c>
      <c r="U218" s="448" t="s">
        <v>4404</v>
      </c>
      <c r="V218" s="448" t="s">
        <v>4405</v>
      </c>
    </row>
    <row r="219" spans="1:22">
      <c r="A219" s="448">
        <v>219</v>
      </c>
      <c r="B219" s="448" t="str">
        <f t="shared" si="3"/>
        <v>Trad219</v>
      </c>
      <c r="C219" s="449" t="s">
        <v>4406</v>
      </c>
      <c r="D219" s="448" t="s">
        <v>4407</v>
      </c>
      <c r="E219" s="448" t="s">
        <v>4408</v>
      </c>
      <c r="F219" s="448" t="s">
        <v>4409</v>
      </c>
      <c r="G219" s="448" t="s">
        <v>4410</v>
      </c>
      <c r="H219" s="448" t="s">
        <v>4411</v>
      </c>
      <c r="I219" s="448" t="s">
        <v>4412</v>
      </c>
      <c r="J219" s="451" t="s">
        <v>4413</v>
      </c>
      <c r="K219" s="448" t="s">
        <v>4414</v>
      </c>
      <c r="L219" s="448" t="s">
        <v>4415</v>
      </c>
      <c r="M219" s="448" t="s">
        <v>4416</v>
      </c>
      <c r="N219" s="448" t="s">
        <v>4417</v>
      </c>
      <c r="O219" s="448" t="s">
        <v>4418</v>
      </c>
      <c r="P219" s="448" t="s">
        <v>4419</v>
      </c>
      <c r="Q219" s="448" t="s">
        <v>4420</v>
      </c>
      <c r="R219" s="453" t="s">
        <v>4421</v>
      </c>
      <c r="S219" s="448" t="s">
        <v>4422</v>
      </c>
      <c r="T219" s="448" t="s">
        <v>4423</v>
      </c>
      <c r="U219" s="448" t="s">
        <v>4424</v>
      </c>
      <c r="V219" s="448" t="s">
        <v>4425</v>
      </c>
    </row>
    <row r="220" spans="1:22">
      <c r="A220" s="448">
        <v>220</v>
      </c>
      <c r="B220" s="448" t="str">
        <f t="shared" si="3"/>
        <v>Trad220</v>
      </c>
      <c r="C220" s="449" t="s">
        <v>4426</v>
      </c>
      <c r="D220" s="448" t="s">
        <v>4427</v>
      </c>
      <c r="E220" s="448" t="s">
        <v>4428</v>
      </c>
      <c r="F220" s="448" t="s">
        <v>4429</v>
      </c>
      <c r="G220" s="448" t="s">
        <v>4430</v>
      </c>
      <c r="H220" s="448" t="s">
        <v>4431</v>
      </c>
      <c r="I220" s="448" t="s">
        <v>4432</v>
      </c>
      <c r="J220" s="451" t="s">
        <v>4433</v>
      </c>
      <c r="K220" s="448" t="s">
        <v>4434</v>
      </c>
      <c r="L220" s="448" t="s">
        <v>4435</v>
      </c>
      <c r="M220" s="448" t="s">
        <v>4436</v>
      </c>
      <c r="N220" s="448" t="s">
        <v>4437</v>
      </c>
      <c r="O220" s="448" t="s">
        <v>4438</v>
      </c>
      <c r="P220" s="448" t="s">
        <v>4439</v>
      </c>
      <c r="Q220" s="448" t="s">
        <v>4440</v>
      </c>
      <c r="R220" s="453" t="s">
        <v>4441</v>
      </c>
      <c r="S220" s="448" t="s">
        <v>4442</v>
      </c>
      <c r="T220" s="448" t="s">
        <v>4443</v>
      </c>
      <c r="U220" s="448" t="s">
        <v>4444</v>
      </c>
      <c r="V220" s="448" t="s">
        <v>4445</v>
      </c>
    </row>
    <row r="221" spans="1:22">
      <c r="A221" s="448">
        <v>221</v>
      </c>
      <c r="B221" s="448" t="str">
        <f t="shared" si="3"/>
        <v>Trad221</v>
      </c>
      <c r="C221" s="449" t="s">
        <v>4446</v>
      </c>
      <c r="D221" s="448" t="s">
        <v>4447</v>
      </c>
      <c r="E221" s="448" t="s">
        <v>4448</v>
      </c>
      <c r="F221" s="448" t="s">
        <v>4449</v>
      </c>
      <c r="G221" s="448" t="s">
        <v>4450</v>
      </c>
      <c r="H221" s="448" t="s">
        <v>4451</v>
      </c>
      <c r="I221" s="448" t="s">
        <v>4452</v>
      </c>
      <c r="J221" s="451" t="s">
        <v>4453</v>
      </c>
      <c r="K221" s="448" t="s">
        <v>4454</v>
      </c>
      <c r="L221" s="448" t="s">
        <v>4455</v>
      </c>
      <c r="M221" s="448" t="s">
        <v>4456</v>
      </c>
      <c r="N221" s="448" t="s">
        <v>4457</v>
      </c>
      <c r="O221" s="448" t="s">
        <v>4458</v>
      </c>
      <c r="P221" s="448" t="s">
        <v>4459</v>
      </c>
      <c r="Q221" s="448" t="s">
        <v>4460</v>
      </c>
      <c r="R221" s="453" t="s">
        <v>4461</v>
      </c>
      <c r="S221" s="448" t="s">
        <v>4462</v>
      </c>
      <c r="T221" s="448" t="s">
        <v>4463</v>
      </c>
      <c r="U221" s="448" t="s">
        <v>4464</v>
      </c>
      <c r="V221" s="448" t="s">
        <v>4465</v>
      </c>
    </row>
    <row r="222" spans="1:22">
      <c r="A222" s="448">
        <v>222</v>
      </c>
      <c r="B222" s="448" t="str">
        <f t="shared" si="3"/>
        <v>Trad222</v>
      </c>
      <c r="C222" s="449" t="s">
        <v>2259</v>
      </c>
      <c r="D222" s="448" t="s">
        <v>4466</v>
      </c>
      <c r="E222" s="448" t="s">
        <v>4467</v>
      </c>
      <c r="F222" s="448" t="s">
        <v>4468</v>
      </c>
      <c r="G222" s="448" t="s">
        <v>4469</v>
      </c>
      <c r="H222" s="448" t="s">
        <v>4470</v>
      </c>
      <c r="I222" s="448" t="s">
        <v>4471</v>
      </c>
      <c r="J222" s="451" t="s">
        <v>4472</v>
      </c>
      <c r="K222" s="448" t="s">
        <v>4473</v>
      </c>
      <c r="L222" s="448" t="s">
        <v>4474</v>
      </c>
      <c r="M222" s="448" t="s">
        <v>4475</v>
      </c>
      <c r="N222" s="448" t="s">
        <v>4476</v>
      </c>
      <c r="O222" s="448" t="s">
        <v>4477</v>
      </c>
      <c r="P222" s="448" t="s">
        <v>4478</v>
      </c>
      <c r="Q222" s="448" t="s">
        <v>4479</v>
      </c>
      <c r="R222" s="453" t="s">
        <v>4480</v>
      </c>
      <c r="S222" s="448" t="s">
        <v>4481</v>
      </c>
      <c r="T222" s="448" t="s">
        <v>2276</v>
      </c>
      <c r="U222" s="448" t="s">
        <v>4482</v>
      </c>
      <c r="V222" s="448" t="s">
        <v>4483</v>
      </c>
    </row>
    <row r="223" spans="1:22">
      <c r="A223" s="448">
        <v>223</v>
      </c>
      <c r="B223" s="448" t="str">
        <f t="shared" si="3"/>
        <v>Trad223</v>
      </c>
      <c r="C223" s="449" t="s">
        <v>4484</v>
      </c>
      <c r="D223" s="448" t="s">
        <v>4485</v>
      </c>
      <c r="E223" s="448" t="s">
        <v>4486</v>
      </c>
      <c r="F223" s="448" t="s">
        <v>4487</v>
      </c>
      <c r="G223" s="448" t="s">
        <v>4488</v>
      </c>
      <c r="H223" s="448" t="s">
        <v>4489</v>
      </c>
      <c r="I223" s="448" t="s">
        <v>4490</v>
      </c>
      <c r="J223" s="451" t="s">
        <v>4491</v>
      </c>
      <c r="K223" s="448" t="s">
        <v>4492</v>
      </c>
      <c r="L223" s="448" t="s">
        <v>4493</v>
      </c>
      <c r="M223" s="448" t="s">
        <v>4494</v>
      </c>
      <c r="N223" s="448" t="s">
        <v>4495</v>
      </c>
      <c r="O223" s="448" t="s">
        <v>4496</v>
      </c>
      <c r="P223" s="448" t="s">
        <v>4497</v>
      </c>
      <c r="Q223" s="448" t="s">
        <v>4498</v>
      </c>
      <c r="R223" s="453" t="s">
        <v>4499</v>
      </c>
      <c r="S223" s="448" t="s">
        <v>4500</v>
      </c>
      <c r="T223" s="448" t="s">
        <v>4501</v>
      </c>
      <c r="U223" s="448" t="s">
        <v>4502</v>
      </c>
      <c r="V223" s="448" t="s">
        <v>4503</v>
      </c>
    </row>
    <row r="224" spans="1:22">
      <c r="A224" s="448">
        <v>224</v>
      </c>
      <c r="B224" s="448" t="str">
        <f t="shared" si="3"/>
        <v>Trad224</v>
      </c>
      <c r="C224" s="449" t="s">
        <v>4504</v>
      </c>
      <c r="D224" s="448" t="s">
        <v>4505</v>
      </c>
      <c r="E224" s="448" t="s">
        <v>4506</v>
      </c>
      <c r="F224" s="448" t="s">
        <v>4507</v>
      </c>
      <c r="G224" s="448" t="s">
        <v>4508</v>
      </c>
      <c r="H224" s="448" t="s">
        <v>4509</v>
      </c>
      <c r="I224" s="448" t="s">
        <v>4510</v>
      </c>
      <c r="J224" s="451" t="s">
        <v>4511</v>
      </c>
      <c r="K224" s="448" t="s">
        <v>4512</v>
      </c>
      <c r="L224" s="448" t="s">
        <v>4513</v>
      </c>
      <c r="M224" s="448" t="s">
        <v>4514</v>
      </c>
      <c r="N224" s="448" t="s">
        <v>4515</v>
      </c>
      <c r="O224" s="448" t="s">
        <v>4516</v>
      </c>
      <c r="P224" s="448" t="s">
        <v>4517</v>
      </c>
      <c r="Q224" s="448" t="s">
        <v>4518</v>
      </c>
      <c r="R224" s="453" t="s">
        <v>4519</v>
      </c>
      <c r="S224" s="448" t="s">
        <v>4520</v>
      </c>
      <c r="T224" s="448" t="s">
        <v>4521</v>
      </c>
      <c r="U224" s="448" t="s">
        <v>4522</v>
      </c>
      <c r="V224" s="448" t="s">
        <v>4523</v>
      </c>
    </row>
    <row r="225" spans="1:22">
      <c r="A225" s="448">
        <v>225</v>
      </c>
      <c r="B225" s="448" t="str">
        <f t="shared" si="3"/>
        <v>Trad225</v>
      </c>
      <c r="C225" s="449" t="s">
        <v>4524</v>
      </c>
      <c r="D225" s="448" t="s">
        <v>4525</v>
      </c>
      <c r="E225" s="448" t="s">
        <v>4526</v>
      </c>
      <c r="F225" s="448" t="s">
        <v>4527</v>
      </c>
      <c r="G225" s="448" t="s">
        <v>4528</v>
      </c>
      <c r="H225" s="448" t="s">
        <v>4529</v>
      </c>
      <c r="I225" s="448" t="s">
        <v>4530</v>
      </c>
      <c r="J225" s="451" t="s">
        <v>4531</v>
      </c>
      <c r="K225" s="448" t="s">
        <v>4532</v>
      </c>
      <c r="L225" s="448" t="s">
        <v>4533</v>
      </c>
      <c r="M225" s="448" t="s">
        <v>4534</v>
      </c>
      <c r="N225" s="448" t="s">
        <v>4535</v>
      </c>
      <c r="O225" s="448" t="s">
        <v>4536</v>
      </c>
      <c r="P225" s="448" t="s">
        <v>4537</v>
      </c>
      <c r="Q225" s="448" t="s">
        <v>4538</v>
      </c>
      <c r="R225" s="453" t="s">
        <v>4539</v>
      </c>
      <c r="S225" s="448" t="s">
        <v>4540</v>
      </c>
      <c r="T225" s="448" t="s">
        <v>4541</v>
      </c>
      <c r="U225" s="448" t="s">
        <v>4542</v>
      </c>
      <c r="V225" s="448" t="s">
        <v>4543</v>
      </c>
    </row>
    <row r="226" spans="1:22">
      <c r="A226" s="448">
        <v>226</v>
      </c>
      <c r="B226" s="448" t="str">
        <f t="shared" si="3"/>
        <v>Trad226</v>
      </c>
      <c r="C226" s="449" t="s">
        <v>4544</v>
      </c>
      <c r="D226" s="448" t="s">
        <v>4545</v>
      </c>
      <c r="E226" s="448" t="s">
        <v>4546</v>
      </c>
      <c r="F226" s="448" t="s">
        <v>4547</v>
      </c>
      <c r="G226" s="448" t="s">
        <v>4548</v>
      </c>
      <c r="H226" s="448" t="s">
        <v>4549</v>
      </c>
      <c r="I226" s="448" t="s">
        <v>4550</v>
      </c>
      <c r="J226" s="451" t="s">
        <v>4551</v>
      </c>
      <c r="K226" s="448" t="s">
        <v>4552</v>
      </c>
      <c r="L226" s="448" t="s">
        <v>4553</v>
      </c>
      <c r="M226" s="448" t="s">
        <v>4554</v>
      </c>
      <c r="N226" s="448" t="s">
        <v>4555</v>
      </c>
      <c r="O226" s="448" t="s">
        <v>4556</v>
      </c>
      <c r="P226" s="448" t="s">
        <v>4557</v>
      </c>
      <c r="Q226" s="448" t="s">
        <v>4558</v>
      </c>
      <c r="R226" s="453" t="s">
        <v>4559</v>
      </c>
      <c r="S226" s="448" t="s">
        <v>4560</v>
      </c>
      <c r="T226" s="448" t="s">
        <v>4561</v>
      </c>
      <c r="U226" s="448" t="s">
        <v>4562</v>
      </c>
      <c r="V226" s="448" t="s">
        <v>2472</v>
      </c>
    </row>
    <row r="227" spans="1:22">
      <c r="A227" s="448">
        <v>227</v>
      </c>
      <c r="B227" s="448" t="str">
        <f t="shared" si="3"/>
        <v>Trad227</v>
      </c>
      <c r="C227" s="449" t="s">
        <v>4563</v>
      </c>
      <c r="D227" s="448" t="s">
        <v>4564</v>
      </c>
      <c r="E227" s="448" t="s">
        <v>4565</v>
      </c>
      <c r="F227" s="448" t="s">
        <v>4566</v>
      </c>
      <c r="G227" s="448" t="s">
        <v>4567</v>
      </c>
      <c r="H227" s="448" t="s">
        <v>4568</v>
      </c>
      <c r="I227" s="448" t="s">
        <v>4569</v>
      </c>
      <c r="J227" s="451" t="s">
        <v>4570</v>
      </c>
      <c r="K227" s="448" t="s">
        <v>4571</v>
      </c>
      <c r="L227" s="448" t="s">
        <v>4564</v>
      </c>
      <c r="M227" s="448" t="s">
        <v>4572</v>
      </c>
      <c r="N227" s="448" t="s">
        <v>4573</v>
      </c>
      <c r="O227" s="448" t="s">
        <v>4574</v>
      </c>
      <c r="P227" s="448" t="s">
        <v>4575</v>
      </c>
      <c r="Q227" s="448" t="s">
        <v>4576</v>
      </c>
      <c r="R227" s="453" t="s">
        <v>4577</v>
      </c>
      <c r="S227" s="448" t="s">
        <v>4578</v>
      </c>
      <c r="T227" s="448" t="s">
        <v>4579</v>
      </c>
      <c r="U227" s="448" t="s">
        <v>4580</v>
      </c>
      <c r="V227" s="448" t="s">
        <v>4581</v>
      </c>
    </row>
    <row r="228" spans="1:22">
      <c r="A228" s="448">
        <v>228</v>
      </c>
      <c r="B228" s="448" t="str">
        <f t="shared" si="3"/>
        <v>Trad228</v>
      </c>
      <c r="C228" s="449" t="s">
        <v>4582</v>
      </c>
      <c r="D228" s="448" t="s">
        <v>4583</v>
      </c>
      <c r="E228" s="448" t="s">
        <v>4584</v>
      </c>
      <c r="F228" s="448" t="s">
        <v>4585</v>
      </c>
      <c r="G228" s="448" t="s">
        <v>4586</v>
      </c>
      <c r="H228" s="448" t="s">
        <v>4587</v>
      </c>
      <c r="I228" s="448" t="s">
        <v>4588</v>
      </c>
      <c r="J228" s="451" t="s">
        <v>4589</v>
      </c>
      <c r="K228" s="448" t="s">
        <v>4590</v>
      </c>
      <c r="L228" s="448" t="s">
        <v>4583</v>
      </c>
      <c r="M228" s="448" t="s">
        <v>4591</v>
      </c>
      <c r="N228" s="448" t="s">
        <v>4592</v>
      </c>
      <c r="O228" s="448" t="s">
        <v>4593</v>
      </c>
      <c r="P228" s="448" t="s">
        <v>4594</v>
      </c>
      <c r="Q228" s="448" t="s">
        <v>4595</v>
      </c>
      <c r="R228" s="453" t="s">
        <v>4596</v>
      </c>
      <c r="S228" s="448" t="s">
        <v>4597</v>
      </c>
      <c r="T228" s="448" t="s">
        <v>4598</v>
      </c>
      <c r="U228" s="448" t="s">
        <v>4599</v>
      </c>
      <c r="V228" s="448" t="s">
        <v>4600</v>
      </c>
    </row>
    <row r="229" spans="1:22">
      <c r="A229" s="448">
        <v>229</v>
      </c>
      <c r="B229" s="448" t="str">
        <f t="shared" si="3"/>
        <v>Trad229</v>
      </c>
      <c r="C229" s="449" t="s">
        <v>4601</v>
      </c>
      <c r="D229" s="448" t="s">
        <v>4602</v>
      </c>
      <c r="E229" s="448" t="s">
        <v>4603</v>
      </c>
      <c r="F229" s="448" t="s">
        <v>4604</v>
      </c>
      <c r="G229" s="448" t="s">
        <v>4605</v>
      </c>
      <c r="H229" s="448" t="s">
        <v>4606</v>
      </c>
      <c r="I229" s="448" t="s">
        <v>4607</v>
      </c>
      <c r="J229" s="451" t="s">
        <v>4608</v>
      </c>
      <c r="K229" s="448" t="s">
        <v>4609</v>
      </c>
      <c r="L229" s="448" t="s">
        <v>4610</v>
      </c>
      <c r="M229" s="448" t="s">
        <v>4611</v>
      </c>
      <c r="N229" s="448" t="s">
        <v>4612</v>
      </c>
      <c r="O229" s="448" t="s">
        <v>4613</v>
      </c>
      <c r="P229" s="448" t="s">
        <v>4602</v>
      </c>
      <c r="Q229" s="448" t="s">
        <v>4614</v>
      </c>
      <c r="R229" s="453" t="s">
        <v>4615</v>
      </c>
      <c r="S229" s="448" t="s">
        <v>4616</v>
      </c>
      <c r="T229" s="448" t="s">
        <v>4617</v>
      </c>
      <c r="U229" s="448" t="s">
        <v>4618</v>
      </c>
      <c r="V229" s="448" t="s">
        <v>4619</v>
      </c>
    </row>
    <row r="230" spans="1:22">
      <c r="A230" s="448">
        <v>230</v>
      </c>
      <c r="B230" s="448" t="str">
        <f t="shared" si="3"/>
        <v>Trad230</v>
      </c>
      <c r="C230" s="449" t="s">
        <v>4620</v>
      </c>
      <c r="D230" s="448" t="s">
        <v>4621</v>
      </c>
      <c r="E230" s="448" t="s">
        <v>4622</v>
      </c>
      <c r="F230" s="448" t="s">
        <v>4623</v>
      </c>
      <c r="G230" s="448" t="s">
        <v>4624</v>
      </c>
      <c r="H230" s="448" t="s">
        <v>4625</v>
      </c>
      <c r="I230" s="448" t="s">
        <v>4626</v>
      </c>
      <c r="J230" s="451" t="s">
        <v>4627</v>
      </c>
      <c r="K230" s="448" t="s">
        <v>4628</v>
      </c>
      <c r="L230" s="448" t="s">
        <v>4629</v>
      </c>
      <c r="M230" s="448" t="s">
        <v>4630</v>
      </c>
      <c r="N230" s="448" t="s">
        <v>4631</v>
      </c>
      <c r="O230" s="448" t="s">
        <v>4632</v>
      </c>
      <c r="P230" s="448" t="s">
        <v>4633</v>
      </c>
      <c r="Q230" s="448" t="s">
        <v>4634</v>
      </c>
      <c r="R230" s="453" t="s">
        <v>4635</v>
      </c>
      <c r="S230" s="448" t="s">
        <v>4636</v>
      </c>
      <c r="T230" s="448" t="s">
        <v>4637</v>
      </c>
      <c r="U230" s="448" t="s">
        <v>4638</v>
      </c>
      <c r="V230" s="448" t="s">
        <v>4639</v>
      </c>
    </row>
    <row r="231" spans="1:22">
      <c r="A231" s="448">
        <v>231</v>
      </c>
      <c r="B231" s="448" t="str">
        <f t="shared" si="3"/>
        <v>Trad231</v>
      </c>
      <c r="C231" s="449" t="s">
        <v>1519</v>
      </c>
      <c r="D231" s="448" t="s">
        <v>1520</v>
      </c>
      <c r="E231" s="448" t="s">
        <v>2921</v>
      </c>
      <c r="F231" s="448" t="s">
        <v>4640</v>
      </c>
      <c r="G231" s="448" t="s">
        <v>1523</v>
      </c>
      <c r="H231" s="448" t="s">
        <v>4641</v>
      </c>
      <c r="I231" s="448" t="s">
        <v>1525</v>
      </c>
      <c r="J231" s="451" t="s">
        <v>2923</v>
      </c>
      <c r="K231" s="448" t="s">
        <v>1459</v>
      </c>
      <c r="L231" s="448" t="s">
        <v>1528</v>
      </c>
      <c r="M231" s="448" t="s">
        <v>2925</v>
      </c>
      <c r="N231" s="448" t="s">
        <v>4642</v>
      </c>
      <c r="O231" s="448" t="s">
        <v>2926</v>
      </c>
      <c r="P231" s="448" t="s">
        <v>4643</v>
      </c>
      <c r="Q231" s="448" t="s">
        <v>4644</v>
      </c>
      <c r="R231" s="453" t="s">
        <v>1533</v>
      </c>
      <c r="S231" s="448" t="s">
        <v>1534</v>
      </c>
      <c r="T231" s="448" t="s">
        <v>4645</v>
      </c>
      <c r="U231" s="448" t="s">
        <v>2929</v>
      </c>
      <c r="V231" s="448" t="s">
        <v>4646</v>
      </c>
    </row>
    <row r="232" spans="1:22">
      <c r="A232" s="448">
        <v>232</v>
      </c>
      <c r="B232" s="448" t="str">
        <f t="shared" si="3"/>
        <v>Trad232</v>
      </c>
      <c r="C232" s="449" t="s">
        <v>4647</v>
      </c>
      <c r="D232" s="448" t="s">
        <v>2931</v>
      </c>
      <c r="E232" s="448" t="s">
        <v>4648</v>
      </c>
      <c r="F232" s="448" t="s">
        <v>4649</v>
      </c>
      <c r="G232" s="448" t="s">
        <v>4650</v>
      </c>
      <c r="H232" s="448" t="s">
        <v>4651</v>
      </c>
      <c r="I232" s="448" t="s">
        <v>2936</v>
      </c>
      <c r="J232" s="451" t="s">
        <v>4652</v>
      </c>
      <c r="K232" s="448" t="s">
        <v>4653</v>
      </c>
      <c r="L232" s="448" t="s">
        <v>4654</v>
      </c>
      <c r="M232" s="448" t="s">
        <v>2940</v>
      </c>
      <c r="N232" s="448" t="s">
        <v>2941</v>
      </c>
      <c r="O232" s="448" t="s">
        <v>4655</v>
      </c>
      <c r="P232" s="448" t="s">
        <v>2943</v>
      </c>
      <c r="Q232" s="448" t="s">
        <v>4656</v>
      </c>
      <c r="R232" s="453" t="s">
        <v>2945</v>
      </c>
      <c r="S232" s="448" t="s">
        <v>4657</v>
      </c>
      <c r="T232" s="448" t="s">
        <v>2947</v>
      </c>
      <c r="U232" s="448" t="s">
        <v>4658</v>
      </c>
      <c r="V232" s="448" t="s">
        <v>2949</v>
      </c>
    </row>
    <row r="233" spans="1:22">
      <c r="A233" s="448">
        <v>233</v>
      </c>
      <c r="B233" s="448" t="str">
        <f t="shared" si="3"/>
        <v>Trad233</v>
      </c>
      <c r="C233" s="449" t="s">
        <v>4659</v>
      </c>
      <c r="D233" s="448" t="s">
        <v>4660</v>
      </c>
      <c r="E233" s="448" t="s">
        <v>4661</v>
      </c>
      <c r="F233" s="448" t="s">
        <v>4662</v>
      </c>
      <c r="G233" s="448" t="s">
        <v>4663</v>
      </c>
      <c r="H233" s="448" t="s">
        <v>4664</v>
      </c>
      <c r="I233" s="448" t="s">
        <v>4665</v>
      </c>
      <c r="J233" s="451" t="s">
        <v>4666</v>
      </c>
      <c r="K233" s="448" t="s">
        <v>4667</v>
      </c>
      <c r="L233" s="448" t="s">
        <v>4668</v>
      </c>
      <c r="M233" s="448" t="s">
        <v>4669</v>
      </c>
      <c r="N233" s="448" t="s">
        <v>4670</v>
      </c>
      <c r="O233" s="448" t="s">
        <v>4671</v>
      </c>
      <c r="P233" s="448" t="s">
        <v>4672</v>
      </c>
      <c r="Q233" s="448" t="s">
        <v>4673</v>
      </c>
      <c r="R233" s="453" t="s">
        <v>4674</v>
      </c>
      <c r="S233" s="448" t="s">
        <v>4675</v>
      </c>
      <c r="T233" s="448" t="s">
        <v>4676</v>
      </c>
      <c r="U233" s="448" t="s">
        <v>4677</v>
      </c>
      <c r="V233" s="448" t="s">
        <v>4678</v>
      </c>
    </row>
    <row r="234" spans="1:22" ht="25.5">
      <c r="A234" s="448">
        <v>234</v>
      </c>
      <c r="B234" s="448" t="str">
        <f t="shared" si="3"/>
        <v>Trad234</v>
      </c>
      <c r="C234" s="449" t="s">
        <v>4679</v>
      </c>
      <c r="D234" s="448" t="s">
        <v>4680</v>
      </c>
      <c r="E234" s="448" t="s">
        <v>4681</v>
      </c>
      <c r="F234" s="448" t="s">
        <v>4682</v>
      </c>
      <c r="G234" s="448" t="s">
        <v>4683</v>
      </c>
      <c r="H234" s="448" t="s">
        <v>4684</v>
      </c>
      <c r="I234" s="448" t="s">
        <v>4685</v>
      </c>
      <c r="J234" s="451" t="s">
        <v>4686</v>
      </c>
      <c r="K234" s="448" t="s">
        <v>4687</v>
      </c>
      <c r="L234" s="448" t="s">
        <v>4688</v>
      </c>
      <c r="M234" s="448" t="s">
        <v>4689</v>
      </c>
      <c r="N234" s="448" t="s">
        <v>4690</v>
      </c>
      <c r="O234" s="448" t="s">
        <v>4691</v>
      </c>
      <c r="P234" s="448" t="s">
        <v>4692</v>
      </c>
      <c r="Q234" s="448" t="s">
        <v>4693</v>
      </c>
      <c r="R234" s="453" t="s">
        <v>4694</v>
      </c>
      <c r="S234" s="448" t="s">
        <v>4695</v>
      </c>
      <c r="T234" s="448" t="s">
        <v>4696</v>
      </c>
      <c r="U234" s="448" t="s">
        <v>4697</v>
      </c>
      <c r="V234" s="448" t="s">
        <v>4698</v>
      </c>
    </row>
    <row r="235" spans="1:22">
      <c r="A235" s="448">
        <v>235</v>
      </c>
      <c r="B235" s="448" t="str">
        <f t="shared" si="3"/>
        <v>Trad235</v>
      </c>
      <c r="C235" s="449" t="s">
        <v>4699</v>
      </c>
      <c r="D235" s="448" t="s">
        <v>4700</v>
      </c>
      <c r="E235" s="448" t="s">
        <v>4701</v>
      </c>
      <c r="F235" s="448" t="s">
        <v>4702</v>
      </c>
      <c r="G235" s="448" t="s">
        <v>4703</v>
      </c>
      <c r="H235" s="448" t="s">
        <v>4704</v>
      </c>
      <c r="I235" s="448" t="s">
        <v>4705</v>
      </c>
      <c r="J235" s="451" t="s">
        <v>4706</v>
      </c>
      <c r="K235" s="448" t="s">
        <v>4707</v>
      </c>
      <c r="L235" s="448" t="s">
        <v>4708</v>
      </c>
      <c r="M235" s="448" t="s">
        <v>4709</v>
      </c>
      <c r="N235" s="448" t="s">
        <v>4710</v>
      </c>
      <c r="O235" s="448" t="s">
        <v>4711</v>
      </c>
      <c r="P235" s="448" t="s">
        <v>4712</v>
      </c>
      <c r="Q235" s="448" t="s">
        <v>4713</v>
      </c>
      <c r="R235" s="453" t="s">
        <v>4714</v>
      </c>
      <c r="S235" s="448" t="s">
        <v>4715</v>
      </c>
      <c r="T235" s="448" t="s">
        <v>4716</v>
      </c>
      <c r="U235" s="448" t="s">
        <v>4717</v>
      </c>
      <c r="V235" s="448" t="s">
        <v>4718</v>
      </c>
    </row>
    <row r="236" spans="1:22">
      <c r="A236" s="448">
        <v>236</v>
      </c>
      <c r="B236" s="448" t="str">
        <f t="shared" si="3"/>
        <v>Trad236</v>
      </c>
      <c r="C236" s="449" t="s">
        <v>4719</v>
      </c>
      <c r="D236" s="448" t="s">
        <v>4720</v>
      </c>
      <c r="E236" s="448" t="s">
        <v>2710</v>
      </c>
      <c r="F236" s="448" t="s">
        <v>4721</v>
      </c>
      <c r="G236" s="448" t="s">
        <v>4722</v>
      </c>
      <c r="H236" s="448" t="s">
        <v>4723</v>
      </c>
      <c r="I236" s="448" t="s">
        <v>4724</v>
      </c>
      <c r="J236" s="451" t="s">
        <v>4725</v>
      </c>
      <c r="K236" s="448" t="s">
        <v>4726</v>
      </c>
      <c r="L236" s="448" t="s">
        <v>4727</v>
      </c>
      <c r="M236" s="448" t="s">
        <v>4728</v>
      </c>
      <c r="N236" s="448" t="s">
        <v>4729</v>
      </c>
      <c r="O236" s="448" t="s">
        <v>4730</v>
      </c>
      <c r="P236" s="448" t="s">
        <v>4725</v>
      </c>
      <c r="Q236" s="448" t="s">
        <v>4731</v>
      </c>
      <c r="R236" s="453" t="s">
        <v>4732</v>
      </c>
      <c r="S236" s="448" t="s">
        <v>4733</v>
      </c>
      <c r="T236" s="448" t="s">
        <v>2430</v>
      </c>
      <c r="U236" s="448" t="s">
        <v>4734</v>
      </c>
      <c r="V236" s="448" t="s">
        <v>4735</v>
      </c>
    </row>
    <row r="237" spans="1:22">
      <c r="A237" s="448">
        <v>237</v>
      </c>
      <c r="B237" s="448" t="str">
        <f t="shared" si="3"/>
        <v>Trad237</v>
      </c>
      <c r="C237" s="449" t="s">
        <v>4736</v>
      </c>
      <c r="D237" s="448" t="s">
        <v>4737</v>
      </c>
      <c r="E237" s="448" t="s">
        <v>4738</v>
      </c>
      <c r="F237" s="448" t="s">
        <v>4739</v>
      </c>
      <c r="G237" s="448" t="s">
        <v>4740</v>
      </c>
      <c r="H237" s="448" t="s">
        <v>4741</v>
      </c>
      <c r="I237" s="448" t="s">
        <v>4742</v>
      </c>
      <c r="J237" s="451" t="s">
        <v>4743</v>
      </c>
      <c r="K237" s="448" t="s">
        <v>4744</v>
      </c>
      <c r="L237" s="448" t="s">
        <v>4745</v>
      </c>
      <c r="M237" s="448" t="s">
        <v>4746</v>
      </c>
      <c r="N237" s="448" t="s">
        <v>4747</v>
      </c>
      <c r="O237" s="448" t="s">
        <v>4748</v>
      </c>
      <c r="P237" s="448" t="s">
        <v>4749</v>
      </c>
      <c r="Q237" s="448" t="s">
        <v>4750</v>
      </c>
      <c r="R237" s="453" t="s">
        <v>4751</v>
      </c>
      <c r="S237" s="448" t="s">
        <v>4752</v>
      </c>
      <c r="T237" s="448" t="s">
        <v>4753</v>
      </c>
      <c r="U237" s="448" t="s">
        <v>4754</v>
      </c>
      <c r="V237" s="448" t="s">
        <v>4755</v>
      </c>
    </row>
    <row r="238" spans="1:22">
      <c r="A238" s="448">
        <v>238</v>
      </c>
      <c r="B238" s="448" t="str">
        <f t="shared" si="3"/>
        <v>Trad238</v>
      </c>
      <c r="C238" s="449" t="s">
        <v>4756</v>
      </c>
      <c r="D238" s="448" t="s">
        <v>4757</v>
      </c>
      <c r="E238" s="448" t="s">
        <v>4758</v>
      </c>
      <c r="F238" s="448" t="s">
        <v>4759</v>
      </c>
      <c r="G238" s="448" t="s">
        <v>4760</v>
      </c>
      <c r="H238" s="448" t="s">
        <v>4761</v>
      </c>
      <c r="I238" s="448" t="s">
        <v>4762</v>
      </c>
      <c r="J238" s="451" t="s">
        <v>4763</v>
      </c>
      <c r="K238" s="448" t="s">
        <v>4764</v>
      </c>
      <c r="L238" s="448" t="s">
        <v>4765</v>
      </c>
      <c r="M238" s="448" t="s">
        <v>4766</v>
      </c>
      <c r="N238" s="448" t="s">
        <v>4767</v>
      </c>
      <c r="O238" s="448" t="s">
        <v>4768</v>
      </c>
      <c r="P238" s="448" t="s">
        <v>4769</v>
      </c>
      <c r="Q238" s="448" t="s">
        <v>4770</v>
      </c>
      <c r="R238" s="453" t="s">
        <v>4771</v>
      </c>
      <c r="S238" s="448" t="s">
        <v>4772</v>
      </c>
      <c r="T238" s="448" t="s">
        <v>4773</v>
      </c>
      <c r="U238" s="448" t="s">
        <v>4774</v>
      </c>
      <c r="V238" s="448" t="s">
        <v>4775</v>
      </c>
    </row>
    <row r="239" spans="1:22">
      <c r="A239" s="448">
        <v>239</v>
      </c>
      <c r="B239" s="448" t="str">
        <f t="shared" si="3"/>
        <v>Trad239</v>
      </c>
      <c r="C239" s="449" t="s">
        <v>4776</v>
      </c>
      <c r="D239" s="448" t="s">
        <v>4777</v>
      </c>
      <c r="E239" s="448" t="s">
        <v>4778</v>
      </c>
      <c r="F239" s="448" t="s">
        <v>4779</v>
      </c>
      <c r="G239" s="448" t="s">
        <v>4780</v>
      </c>
      <c r="H239" s="448" t="s">
        <v>4781</v>
      </c>
      <c r="I239" s="448" t="s">
        <v>4782</v>
      </c>
      <c r="J239" s="451" t="s">
        <v>4783</v>
      </c>
      <c r="K239" s="448" t="s">
        <v>4784</v>
      </c>
      <c r="L239" s="448" t="s">
        <v>4785</v>
      </c>
      <c r="M239" s="448" t="s">
        <v>4786</v>
      </c>
      <c r="N239" s="448" t="s">
        <v>4787</v>
      </c>
      <c r="O239" s="448" t="s">
        <v>4788</v>
      </c>
      <c r="P239" s="448" t="s">
        <v>4789</v>
      </c>
      <c r="Q239" s="448" t="s">
        <v>4790</v>
      </c>
      <c r="R239" s="453" t="s">
        <v>4791</v>
      </c>
      <c r="S239" s="448" t="s">
        <v>4792</v>
      </c>
      <c r="T239" s="448" t="s">
        <v>4793</v>
      </c>
      <c r="U239" s="448" t="s">
        <v>4794</v>
      </c>
      <c r="V239" s="448" t="s">
        <v>4795</v>
      </c>
    </row>
    <row r="240" spans="1:22">
      <c r="A240" s="448">
        <v>240</v>
      </c>
      <c r="B240" s="448" t="str">
        <f t="shared" si="3"/>
        <v>Trad240</v>
      </c>
      <c r="C240" s="449" t="s">
        <v>4796</v>
      </c>
      <c r="D240" s="448" t="s">
        <v>4797</v>
      </c>
      <c r="E240" s="448" t="s">
        <v>4798</v>
      </c>
      <c r="F240" s="448" t="s">
        <v>4799</v>
      </c>
      <c r="G240" s="448" t="s">
        <v>4800</v>
      </c>
      <c r="H240" s="448" t="s">
        <v>4801</v>
      </c>
      <c r="I240" s="448" t="s">
        <v>4802</v>
      </c>
      <c r="J240" s="451" t="s">
        <v>4803</v>
      </c>
      <c r="K240" s="448" t="s">
        <v>4804</v>
      </c>
      <c r="L240" s="448" t="s">
        <v>4805</v>
      </c>
      <c r="M240" s="448" t="s">
        <v>4806</v>
      </c>
      <c r="N240" s="448" t="s">
        <v>4807</v>
      </c>
      <c r="O240" s="448" t="s">
        <v>4808</v>
      </c>
      <c r="P240" s="448" t="s">
        <v>4809</v>
      </c>
      <c r="Q240" s="448" t="s">
        <v>4810</v>
      </c>
      <c r="R240" s="453" t="s">
        <v>4811</v>
      </c>
      <c r="S240" s="448" t="s">
        <v>4812</v>
      </c>
      <c r="T240" s="448" t="s">
        <v>4813</v>
      </c>
      <c r="U240" s="448" t="s">
        <v>4814</v>
      </c>
      <c r="V240" s="448" t="s">
        <v>4815</v>
      </c>
    </row>
    <row r="241" spans="1:22">
      <c r="A241" s="448">
        <v>241</v>
      </c>
      <c r="B241" s="448" t="str">
        <f t="shared" si="3"/>
        <v>Trad241</v>
      </c>
      <c r="C241" s="449" t="s">
        <v>2689</v>
      </c>
      <c r="D241" s="448" t="s">
        <v>2690</v>
      </c>
      <c r="E241" s="448" t="s">
        <v>4816</v>
      </c>
      <c r="F241" s="448" t="s">
        <v>4817</v>
      </c>
      <c r="G241" s="448" t="s">
        <v>4818</v>
      </c>
      <c r="H241" s="448" t="s">
        <v>2694</v>
      </c>
      <c r="I241" s="448" t="s">
        <v>2695</v>
      </c>
      <c r="J241" s="451" t="s">
        <v>2693</v>
      </c>
      <c r="K241" s="448" t="s">
        <v>2696</v>
      </c>
      <c r="L241" s="448" t="s">
        <v>2697</v>
      </c>
      <c r="M241" s="448" t="s">
        <v>2698</v>
      </c>
      <c r="N241" s="448" t="s">
        <v>4819</v>
      </c>
      <c r="O241" s="448" t="s">
        <v>2700</v>
      </c>
      <c r="P241" s="448" t="s">
        <v>2701</v>
      </c>
      <c r="Q241" s="448" t="s">
        <v>4820</v>
      </c>
      <c r="R241" s="453" t="s">
        <v>2703</v>
      </c>
      <c r="S241" s="448" t="s">
        <v>2704</v>
      </c>
      <c r="T241" s="448" t="s">
        <v>4821</v>
      </c>
      <c r="U241" s="448" t="s">
        <v>2706</v>
      </c>
      <c r="V241" s="448" t="s">
        <v>4822</v>
      </c>
    </row>
    <row r="242" spans="1:22">
      <c r="A242" s="448">
        <v>242</v>
      </c>
      <c r="B242" s="448" t="str">
        <f t="shared" si="3"/>
        <v>Trad242</v>
      </c>
      <c r="C242" s="449" t="s">
        <v>4823</v>
      </c>
      <c r="D242" s="448" t="s">
        <v>2709</v>
      </c>
      <c r="E242" s="448" t="s">
        <v>4824</v>
      </c>
      <c r="F242" s="448" t="s">
        <v>4825</v>
      </c>
      <c r="G242" s="448" t="s">
        <v>4826</v>
      </c>
      <c r="H242" s="448" t="s">
        <v>2713</v>
      </c>
      <c r="I242" s="448" t="s">
        <v>2714</v>
      </c>
      <c r="J242" s="451" t="s">
        <v>2715</v>
      </c>
      <c r="K242" s="448" t="s">
        <v>4827</v>
      </c>
      <c r="L242" s="448" t="s">
        <v>2717</v>
      </c>
      <c r="M242" s="448" t="s">
        <v>4828</v>
      </c>
      <c r="N242" s="448" t="s">
        <v>4829</v>
      </c>
      <c r="O242" s="448" t="s">
        <v>2719</v>
      </c>
      <c r="P242" s="448" t="s">
        <v>4830</v>
      </c>
      <c r="Q242" s="448" t="s">
        <v>4831</v>
      </c>
      <c r="R242" s="453" t="s">
        <v>4832</v>
      </c>
      <c r="S242" s="448" t="s">
        <v>4833</v>
      </c>
      <c r="T242" s="448" t="s">
        <v>2723</v>
      </c>
      <c r="U242" s="448" t="s">
        <v>2724</v>
      </c>
      <c r="V242" s="448" t="s">
        <v>4834</v>
      </c>
    </row>
    <row r="243" spans="1:22">
      <c r="A243" s="448">
        <v>243</v>
      </c>
      <c r="B243" s="448" t="str">
        <f t="shared" si="3"/>
        <v>Trad243</v>
      </c>
      <c r="C243" s="449" t="s">
        <v>2334</v>
      </c>
      <c r="D243" s="448" t="s">
        <v>2335</v>
      </c>
      <c r="E243" s="448" t="s">
        <v>4835</v>
      </c>
      <c r="F243" s="448" t="s">
        <v>4836</v>
      </c>
      <c r="G243" s="448" t="s">
        <v>4837</v>
      </c>
      <c r="H243" s="448" t="s">
        <v>4838</v>
      </c>
      <c r="I243" s="448" t="s">
        <v>4839</v>
      </c>
      <c r="J243" s="451" t="s">
        <v>4840</v>
      </c>
      <c r="K243" s="448" t="s">
        <v>4841</v>
      </c>
      <c r="L243" s="448" t="s">
        <v>4842</v>
      </c>
      <c r="M243" s="448" t="s">
        <v>4843</v>
      </c>
      <c r="N243" s="448" t="s">
        <v>4844</v>
      </c>
      <c r="O243" s="448" t="s">
        <v>4845</v>
      </c>
      <c r="P243" s="448" t="s">
        <v>4846</v>
      </c>
      <c r="Q243" s="448" t="s">
        <v>4847</v>
      </c>
      <c r="R243" s="453" t="s">
        <v>4848</v>
      </c>
      <c r="S243" s="448" t="s">
        <v>4849</v>
      </c>
      <c r="T243" s="448" t="s">
        <v>2350</v>
      </c>
      <c r="U243" s="448" t="s">
        <v>4850</v>
      </c>
      <c r="V243" s="448" t="s">
        <v>4851</v>
      </c>
    </row>
    <row r="244" spans="1:22">
      <c r="A244" s="448">
        <v>244</v>
      </c>
      <c r="B244" s="448" t="str">
        <f t="shared" si="3"/>
        <v>Trad244</v>
      </c>
      <c r="C244" s="449" t="s">
        <v>2779</v>
      </c>
      <c r="D244" s="448" t="s">
        <v>4852</v>
      </c>
      <c r="E244" s="448" t="s">
        <v>2781</v>
      </c>
      <c r="F244" s="448" t="s">
        <v>4853</v>
      </c>
      <c r="G244" s="448" t="s">
        <v>2783</v>
      </c>
      <c r="H244" s="448" t="s">
        <v>2784</v>
      </c>
      <c r="I244" s="448" t="s">
        <v>4854</v>
      </c>
      <c r="J244" s="451" t="s">
        <v>2786</v>
      </c>
      <c r="K244" s="448" t="s">
        <v>2787</v>
      </c>
      <c r="L244" s="448" t="s">
        <v>2788</v>
      </c>
      <c r="M244" s="448" t="s">
        <v>2789</v>
      </c>
      <c r="N244" s="448" t="s">
        <v>2790</v>
      </c>
      <c r="O244" s="448" t="s">
        <v>2791</v>
      </c>
      <c r="P244" s="448" t="s">
        <v>4855</v>
      </c>
      <c r="Q244" s="448" t="s">
        <v>4856</v>
      </c>
      <c r="R244" s="453" t="s">
        <v>2793</v>
      </c>
      <c r="S244" s="448" t="s">
        <v>2794</v>
      </c>
      <c r="T244" s="448" t="s">
        <v>2795</v>
      </c>
      <c r="U244" s="448" t="s">
        <v>2796</v>
      </c>
      <c r="V244" s="448" t="s">
        <v>2797</v>
      </c>
    </row>
    <row r="245" spans="1:22">
      <c r="A245" s="448">
        <v>245</v>
      </c>
      <c r="B245" s="448" t="str">
        <f t="shared" si="3"/>
        <v>Trad245</v>
      </c>
      <c r="C245" s="449" t="s">
        <v>4857</v>
      </c>
      <c r="D245" s="448" t="s">
        <v>4858</v>
      </c>
      <c r="E245" s="448" t="s">
        <v>4859</v>
      </c>
      <c r="F245" s="448" t="s">
        <v>4860</v>
      </c>
      <c r="G245" s="448" t="s">
        <v>4861</v>
      </c>
      <c r="H245" s="448" t="s">
        <v>4862</v>
      </c>
      <c r="I245" s="448" t="s">
        <v>4863</v>
      </c>
      <c r="J245" s="451" t="s">
        <v>4864</v>
      </c>
      <c r="K245" s="448" t="s">
        <v>2748</v>
      </c>
      <c r="L245" s="448" t="s">
        <v>4865</v>
      </c>
      <c r="M245" s="448" t="s">
        <v>4866</v>
      </c>
      <c r="N245" s="448" t="s">
        <v>4867</v>
      </c>
      <c r="O245" s="448" t="s">
        <v>4868</v>
      </c>
      <c r="P245" s="448" t="s">
        <v>4869</v>
      </c>
      <c r="Q245" s="448" t="s">
        <v>4870</v>
      </c>
      <c r="R245" s="453" t="s">
        <v>4871</v>
      </c>
      <c r="S245" s="448" t="s">
        <v>4872</v>
      </c>
      <c r="T245" s="448" t="s">
        <v>4873</v>
      </c>
      <c r="U245" s="448" t="s">
        <v>4874</v>
      </c>
      <c r="V245" s="448" t="s">
        <v>4875</v>
      </c>
    </row>
    <row r="246" spans="1:22">
      <c r="A246" s="448">
        <v>246</v>
      </c>
      <c r="B246" s="448" t="str">
        <f t="shared" si="3"/>
        <v>Trad246</v>
      </c>
      <c r="C246" s="449" t="s">
        <v>4876</v>
      </c>
      <c r="D246" s="448" t="s">
        <v>4876</v>
      </c>
      <c r="E246" s="448" t="s">
        <v>4877</v>
      </c>
      <c r="F246" s="448" t="s">
        <v>4876</v>
      </c>
      <c r="G246" s="448" t="s">
        <v>4878</v>
      </c>
      <c r="H246" s="448" t="s">
        <v>4879</v>
      </c>
      <c r="I246" s="448" t="s">
        <v>4880</v>
      </c>
      <c r="J246" s="451" t="s">
        <v>4876</v>
      </c>
      <c r="K246" s="448" t="s">
        <v>4881</v>
      </c>
      <c r="L246" s="448" t="s">
        <v>4882</v>
      </c>
      <c r="M246" s="448" t="s">
        <v>4876</v>
      </c>
      <c r="N246" s="448" t="s">
        <v>4876</v>
      </c>
      <c r="O246" s="448" t="s">
        <v>4883</v>
      </c>
      <c r="P246" s="448" t="s">
        <v>4884</v>
      </c>
      <c r="Q246" s="448" t="s">
        <v>4876</v>
      </c>
      <c r="R246" s="453" t="s">
        <v>4885</v>
      </c>
      <c r="S246" s="448" t="s">
        <v>4886</v>
      </c>
      <c r="T246" s="448" t="s">
        <v>4876</v>
      </c>
      <c r="U246" s="448" t="s">
        <v>4887</v>
      </c>
      <c r="V246" s="448" t="s">
        <v>4888</v>
      </c>
    </row>
    <row r="247" spans="1:22">
      <c r="A247" s="448">
        <v>247</v>
      </c>
      <c r="B247" s="448" t="str">
        <f t="shared" si="3"/>
        <v>Trad247</v>
      </c>
      <c r="C247" s="449" t="s">
        <v>4722</v>
      </c>
      <c r="D247" s="448" t="s">
        <v>4889</v>
      </c>
      <c r="E247" s="448" t="s">
        <v>2710</v>
      </c>
      <c r="F247" s="448" t="s">
        <v>4890</v>
      </c>
      <c r="G247" s="448" t="s">
        <v>4891</v>
      </c>
      <c r="H247" s="448" t="s">
        <v>4723</v>
      </c>
      <c r="I247" s="448" t="s">
        <v>2730</v>
      </c>
      <c r="J247" s="451" t="s">
        <v>4892</v>
      </c>
      <c r="K247" s="448" t="s">
        <v>4893</v>
      </c>
      <c r="L247" s="448" t="s">
        <v>4894</v>
      </c>
      <c r="M247" s="448" t="s">
        <v>4895</v>
      </c>
      <c r="N247" s="448" t="s">
        <v>4896</v>
      </c>
      <c r="O247" s="448" t="s">
        <v>4897</v>
      </c>
      <c r="P247" s="448" t="s">
        <v>4898</v>
      </c>
      <c r="Q247" s="448" t="s">
        <v>4899</v>
      </c>
      <c r="R247" s="453" t="s">
        <v>4900</v>
      </c>
      <c r="S247" s="448" t="s">
        <v>4901</v>
      </c>
      <c r="T247" s="448" t="s">
        <v>4902</v>
      </c>
      <c r="U247" s="448" t="s">
        <v>4903</v>
      </c>
      <c r="V247" s="448" t="s">
        <v>4904</v>
      </c>
    </row>
    <row r="248" spans="1:22">
      <c r="A248" s="448">
        <v>248</v>
      </c>
      <c r="B248" s="448" t="str">
        <f t="shared" si="3"/>
        <v>Trad248</v>
      </c>
      <c r="C248" s="449" t="s">
        <v>4905</v>
      </c>
      <c r="D248" s="448" t="s">
        <v>4906</v>
      </c>
      <c r="E248" s="448" t="s">
        <v>4907</v>
      </c>
      <c r="F248" s="448" t="s">
        <v>4908</v>
      </c>
      <c r="G248" s="448" t="s">
        <v>4909</v>
      </c>
      <c r="H248" s="448" t="s">
        <v>2764</v>
      </c>
      <c r="I248" s="448" t="s">
        <v>4910</v>
      </c>
      <c r="J248" s="451" t="s">
        <v>2766</v>
      </c>
      <c r="K248" s="448" t="s">
        <v>4911</v>
      </c>
      <c r="L248" s="448" t="s">
        <v>2768</v>
      </c>
      <c r="M248" s="448" t="s">
        <v>4912</v>
      </c>
      <c r="N248" s="448" t="s">
        <v>4913</v>
      </c>
      <c r="O248" s="448" t="s">
        <v>2771</v>
      </c>
      <c r="P248" s="448" t="s">
        <v>4914</v>
      </c>
      <c r="Q248" s="448" t="s">
        <v>2773</v>
      </c>
      <c r="R248" s="453" t="s">
        <v>4915</v>
      </c>
      <c r="S248" s="448" t="s">
        <v>4916</v>
      </c>
      <c r="T248" s="448" t="s">
        <v>2776</v>
      </c>
      <c r="U248" s="448" t="s">
        <v>2777</v>
      </c>
      <c r="V248" s="448" t="s">
        <v>4917</v>
      </c>
    </row>
    <row r="249" spans="1:22">
      <c r="A249" s="448">
        <v>249</v>
      </c>
      <c r="B249" s="448" t="str">
        <f t="shared" si="3"/>
        <v>Trad249</v>
      </c>
      <c r="C249" s="449" t="s">
        <v>4918</v>
      </c>
      <c r="D249" s="448" t="s">
        <v>4919</v>
      </c>
      <c r="E249" s="448" t="s">
        <v>4920</v>
      </c>
      <c r="F249" s="448" t="s">
        <v>4921</v>
      </c>
      <c r="G249" s="448" t="s">
        <v>4922</v>
      </c>
      <c r="H249" s="448" t="s">
        <v>4923</v>
      </c>
      <c r="I249" s="448" t="s">
        <v>4924</v>
      </c>
      <c r="J249" s="451" t="s">
        <v>4925</v>
      </c>
      <c r="K249" s="448" t="s">
        <v>4926</v>
      </c>
      <c r="L249" s="448" t="s">
        <v>4927</v>
      </c>
      <c r="M249" s="448" t="s">
        <v>4928</v>
      </c>
      <c r="N249" s="448" t="s">
        <v>4929</v>
      </c>
      <c r="O249" s="448" t="s">
        <v>4930</v>
      </c>
      <c r="P249" s="448" t="s">
        <v>4931</v>
      </c>
      <c r="Q249" s="448" t="s">
        <v>4932</v>
      </c>
      <c r="R249" s="453" t="s">
        <v>4933</v>
      </c>
      <c r="S249" s="448" t="s">
        <v>4934</v>
      </c>
      <c r="T249" s="448" t="s">
        <v>4935</v>
      </c>
      <c r="U249" s="448" t="s">
        <v>4936</v>
      </c>
      <c r="V249" s="448" t="s">
        <v>4937</v>
      </c>
    </row>
    <row r="250" spans="1:22">
      <c r="A250" s="448">
        <v>250</v>
      </c>
      <c r="B250" s="448" t="str">
        <f t="shared" si="3"/>
        <v>Trad250</v>
      </c>
      <c r="C250" s="449" t="s">
        <v>2817</v>
      </c>
      <c r="D250" s="448" t="s">
        <v>2830</v>
      </c>
      <c r="E250" s="448" t="s">
        <v>1471</v>
      </c>
      <c r="F250" s="448" t="s">
        <v>4938</v>
      </c>
      <c r="G250" s="448" t="s">
        <v>2821</v>
      </c>
      <c r="H250" s="448" t="s">
        <v>2822</v>
      </c>
      <c r="I250" s="448" t="s">
        <v>1475</v>
      </c>
      <c r="J250" s="451" t="s">
        <v>2824</v>
      </c>
      <c r="K250" s="448" t="s">
        <v>2825</v>
      </c>
      <c r="L250" s="448" t="s">
        <v>2826</v>
      </c>
      <c r="M250" s="448" t="s">
        <v>2827</v>
      </c>
      <c r="N250" s="448" t="s">
        <v>4939</v>
      </c>
      <c r="O250" s="448" t="s">
        <v>2829</v>
      </c>
      <c r="P250" s="448" t="s">
        <v>2830</v>
      </c>
      <c r="Q250" s="448" t="s">
        <v>4940</v>
      </c>
      <c r="R250" s="453" t="s">
        <v>2827</v>
      </c>
      <c r="S250" s="448" t="s">
        <v>4941</v>
      </c>
      <c r="T250" s="448" t="s">
        <v>2833</v>
      </c>
      <c r="U250" s="448" t="s">
        <v>2834</v>
      </c>
      <c r="V250" s="448" t="s">
        <v>2835</v>
      </c>
    </row>
    <row r="251" spans="1:22">
      <c r="A251" s="448">
        <v>251</v>
      </c>
      <c r="B251" s="448" t="str">
        <f t="shared" si="3"/>
        <v>Trad251</v>
      </c>
      <c r="C251" s="449" t="s">
        <v>4942</v>
      </c>
      <c r="D251" s="448" t="s">
        <v>4943</v>
      </c>
      <c r="E251" s="448" t="s">
        <v>4944</v>
      </c>
      <c r="F251" s="448" t="s">
        <v>4945</v>
      </c>
      <c r="G251" s="448" t="s">
        <v>4946</v>
      </c>
      <c r="H251" s="448" t="s">
        <v>4947</v>
      </c>
      <c r="I251" s="448" t="s">
        <v>4948</v>
      </c>
      <c r="J251" s="451" t="s">
        <v>4949</v>
      </c>
      <c r="K251" s="448" t="s">
        <v>4950</v>
      </c>
      <c r="L251" s="448" t="s">
        <v>4951</v>
      </c>
      <c r="M251" s="448" t="s">
        <v>4952</v>
      </c>
      <c r="N251" s="448" t="s">
        <v>4953</v>
      </c>
      <c r="O251" s="448" t="s">
        <v>4954</v>
      </c>
      <c r="P251" s="448" t="s">
        <v>4943</v>
      </c>
      <c r="Q251" s="448" t="s">
        <v>4955</v>
      </c>
      <c r="R251" s="453" t="s">
        <v>4956</v>
      </c>
      <c r="S251" s="448" t="s">
        <v>4957</v>
      </c>
      <c r="T251" s="448" t="s">
        <v>4958</v>
      </c>
      <c r="U251" s="448" t="s">
        <v>4959</v>
      </c>
      <c r="V251" s="448" t="s">
        <v>4960</v>
      </c>
    </row>
    <row r="252" spans="1:22">
      <c r="A252" s="448">
        <v>252</v>
      </c>
      <c r="B252" s="448" t="str">
        <f t="shared" si="3"/>
        <v>Trad252</v>
      </c>
      <c r="C252" s="449" t="s">
        <v>2836</v>
      </c>
      <c r="D252" s="448" t="s">
        <v>4961</v>
      </c>
      <c r="E252" s="448" t="s">
        <v>2838</v>
      </c>
      <c r="F252" s="448" t="s">
        <v>4962</v>
      </c>
      <c r="G252" s="448" t="s">
        <v>4963</v>
      </c>
      <c r="H252" s="448" t="s">
        <v>2840</v>
      </c>
      <c r="I252" s="448" t="s">
        <v>2841</v>
      </c>
      <c r="J252" s="451" t="s">
        <v>2839</v>
      </c>
      <c r="K252" s="448" t="s">
        <v>2842</v>
      </c>
      <c r="L252" s="448" t="s">
        <v>2843</v>
      </c>
      <c r="M252" s="448" t="s">
        <v>4964</v>
      </c>
      <c r="N252" s="448" t="s">
        <v>4965</v>
      </c>
      <c r="O252" s="448" t="s">
        <v>2845</v>
      </c>
      <c r="P252" s="448" t="s">
        <v>4966</v>
      </c>
      <c r="Q252" s="448" t="s">
        <v>4967</v>
      </c>
      <c r="R252" s="453" t="s">
        <v>4968</v>
      </c>
      <c r="S252" s="448" t="s">
        <v>4969</v>
      </c>
      <c r="T252" s="448" t="s">
        <v>2849</v>
      </c>
      <c r="U252" s="448" t="s">
        <v>2850</v>
      </c>
      <c r="V252" s="448" t="s">
        <v>4970</v>
      </c>
    </row>
    <row r="253" spans="1:22">
      <c r="A253" s="448">
        <v>253</v>
      </c>
      <c r="B253" s="448" t="str">
        <f t="shared" si="3"/>
        <v>Trad253</v>
      </c>
      <c r="C253" s="449" t="s">
        <v>4971</v>
      </c>
      <c r="D253" s="448" t="s">
        <v>4972</v>
      </c>
      <c r="E253" s="448" t="s">
        <v>4973</v>
      </c>
      <c r="F253" s="448" t="s">
        <v>4974</v>
      </c>
      <c r="G253" s="448" t="s">
        <v>4975</v>
      </c>
      <c r="H253" s="448" t="s">
        <v>4976</v>
      </c>
      <c r="I253" s="448" t="s">
        <v>4977</v>
      </c>
      <c r="J253" s="451" t="s">
        <v>4978</v>
      </c>
      <c r="K253" s="448" t="s">
        <v>4979</v>
      </c>
      <c r="L253" s="448" t="s">
        <v>4980</v>
      </c>
      <c r="M253" s="448" t="s">
        <v>4981</v>
      </c>
      <c r="N253" s="448" t="s">
        <v>4982</v>
      </c>
      <c r="O253" s="448" t="s">
        <v>4983</v>
      </c>
      <c r="P253" s="448" t="s">
        <v>4978</v>
      </c>
      <c r="Q253" s="448" t="s">
        <v>4984</v>
      </c>
      <c r="R253" s="453" t="s">
        <v>4985</v>
      </c>
      <c r="S253" s="448" t="s">
        <v>4974</v>
      </c>
      <c r="T253" s="448" t="s">
        <v>4974</v>
      </c>
      <c r="U253" s="448" t="s">
        <v>4986</v>
      </c>
      <c r="V253" s="448" t="s">
        <v>4987</v>
      </c>
    </row>
    <row r="254" spans="1:22">
      <c r="A254" s="448">
        <v>254</v>
      </c>
      <c r="B254" s="448" t="str">
        <f t="shared" si="3"/>
        <v>Trad254</v>
      </c>
      <c r="C254" s="449" t="s">
        <v>4988</v>
      </c>
      <c r="D254" s="448" t="s">
        <v>239</v>
      </c>
      <c r="E254" s="448" t="s">
        <v>4989</v>
      </c>
      <c r="F254" s="448" t="s">
        <v>4990</v>
      </c>
      <c r="G254" s="448" t="s">
        <v>4991</v>
      </c>
      <c r="H254" s="448" t="s">
        <v>4992</v>
      </c>
      <c r="I254" s="448" t="s">
        <v>4993</v>
      </c>
      <c r="J254" s="451" t="s">
        <v>4994</v>
      </c>
      <c r="K254" s="448" t="s">
        <v>4995</v>
      </c>
      <c r="L254" s="448" t="s">
        <v>4996</v>
      </c>
      <c r="M254" s="448" t="s">
        <v>4988</v>
      </c>
      <c r="N254" s="448" t="s">
        <v>4997</v>
      </c>
      <c r="O254" s="448" t="s">
        <v>4998</v>
      </c>
      <c r="P254" s="448" t="s">
        <v>239</v>
      </c>
      <c r="Q254" s="448" t="s">
        <v>4999</v>
      </c>
      <c r="R254" s="453" t="s">
        <v>40</v>
      </c>
      <c r="S254" s="448" t="s">
        <v>5000</v>
      </c>
      <c r="T254" s="448" t="s">
        <v>5001</v>
      </c>
      <c r="U254" s="448" t="s">
        <v>5002</v>
      </c>
      <c r="V254" s="448" t="s">
        <v>5003</v>
      </c>
    </row>
    <row r="255" spans="1:22">
      <c r="A255" s="448">
        <v>255</v>
      </c>
      <c r="B255" s="448" t="str">
        <f t="shared" si="3"/>
        <v>Trad255</v>
      </c>
      <c r="C255" s="449" t="s">
        <v>5004</v>
      </c>
      <c r="D255" s="448" t="s">
        <v>5005</v>
      </c>
      <c r="E255" s="448" t="s">
        <v>5006</v>
      </c>
      <c r="F255" s="448" t="s">
        <v>5007</v>
      </c>
      <c r="G255" s="448" t="s">
        <v>5008</v>
      </c>
      <c r="H255" s="448" t="s">
        <v>5009</v>
      </c>
      <c r="I255" s="448" t="s">
        <v>5010</v>
      </c>
      <c r="J255" s="451" t="s">
        <v>5011</v>
      </c>
      <c r="K255" s="448" t="s">
        <v>5012</v>
      </c>
      <c r="L255" s="448" t="s">
        <v>5013</v>
      </c>
      <c r="M255" s="448" t="s">
        <v>5014</v>
      </c>
      <c r="N255" s="448" t="s">
        <v>5015</v>
      </c>
      <c r="O255" s="448" t="s">
        <v>5016</v>
      </c>
      <c r="P255" s="448" t="s">
        <v>5017</v>
      </c>
      <c r="Q255" s="448" t="s">
        <v>5018</v>
      </c>
      <c r="R255" s="453" t="s">
        <v>5019</v>
      </c>
      <c r="S255" s="448" t="s">
        <v>5020</v>
      </c>
      <c r="T255" s="448" t="s">
        <v>5021</v>
      </c>
      <c r="U255" s="448" t="s">
        <v>5022</v>
      </c>
      <c r="V255" s="448" t="s">
        <v>5023</v>
      </c>
    </row>
    <row r="256" spans="1:22">
      <c r="A256" s="448">
        <v>256</v>
      </c>
      <c r="B256" s="448" t="str">
        <f t="shared" si="3"/>
        <v>Trad256</v>
      </c>
      <c r="C256" s="449" t="s">
        <v>5024</v>
      </c>
      <c r="D256" s="448" t="s">
        <v>5025</v>
      </c>
      <c r="E256" s="448" t="s">
        <v>5026</v>
      </c>
      <c r="F256" s="448" t="s">
        <v>5027</v>
      </c>
      <c r="G256" s="448" t="s">
        <v>5028</v>
      </c>
      <c r="H256" s="448" t="s">
        <v>5029</v>
      </c>
      <c r="I256" s="448" t="s">
        <v>5030</v>
      </c>
      <c r="J256" s="451" t="s">
        <v>5031</v>
      </c>
      <c r="K256" s="448" t="s">
        <v>5032</v>
      </c>
      <c r="L256" s="448" t="s">
        <v>5033</v>
      </c>
      <c r="M256" s="448" t="s">
        <v>5034</v>
      </c>
      <c r="N256" s="448" t="s">
        <v>5035</v>
      </c>
      <c r="O256" s="448" t="s">
        <v>5036</v>
      </c>
      <c r="P256" s="448" t="s">
        <v>5025</v>
      </c>
      <c r="Q256" s="448" t="s">
        <v>5037</v>
      </c>
      <c r="R256" s="453" t="s">
        <v>5038</v>
      </c>
      <c r="S256" s="448" t="s">
        <v>5039</v>
      </c>
      <c r="T256" s="448" t="s">
        <v>5040</v>
      </c>
      <c r="U256" s="448" t="s">
        <v>5041</v>
      </c>
      <c r="V256" s="448" t="s">
        <v>5042</v>
      </c>
    </row>
    <row r="257" spans="1:22">
      <c r="A257" s="448">
        <v>257</v>
      </c>
      <c r="B257" s="448" t="str">
        <f t="shared" si="3"/>
        <v>Trad257</v>
      </c>
      <c r="C257" s="449" t="s">
        <v>5043</v>
      </c>
      <c r="D257" s="448" t="s">
        <v>5044</v>
      </c>
      <c r="E257" s="448" t="s">
        <v>5045</v>
      </c>
      <c r="F257" s="448" t="s">
        <v>5046</v>
      </c>
      <c r="G257" s="448" t="s">
        <v>5047</v>
      </c>
      <c r="H257" s="448" t="s">
        <v>5048</v>
      </c>
      <c r="I257" s="448" t="s">
        <v>5049</v>
      </c>
      <c r="J257" s="451" t="s">
        <v>5050</v>
      </c>
      <c r="K257" s="448" t="s">
        <v>5051</v>
      </c>
      <c r="L257" s="448" t="s">
        <v>5052</v>
      </c>
      <c r="M257" s="448" t="s">
        <v>5053</v>
      </c>
      <c r="N257" s="448" t="s">
        <v>5054</v>
      </c>
      <c r="O257" s="448" t="s">
        <v>5055</v>
      </c>
      <c r="P257" s="448" t="s">
        <v>5056</v>
      </c>
      <c r="Q257" s="448" t="s">
        <v>5057</v>
      </c>
      <c r="R257" s="453" t="s">
        <v>5058</v>
      </c>
      <c r="S257" s="448" t="s">
        <v>5059</v>
      </c>
      <c r="T257" s="448" t="s">
        <v>5060</v>
      </c>
      <c r="U257" s="448" t="s">
        <v>5061</v>
      </c>
      <c r="V257" s="448" t="s">
        <v>5062</v>
      </c>
    </row>
    <row r="258" spans="1:22">
      <c r="A258" s="448">
        <v>258</v>
      </c>
      <c r="B258" s="448" t="str">
        <f t="shared" ref="B258:B321" si="4">+_xlfn.CONCAT("Trad",A258)</f>
        <v>Trad258</v>
      </c>
      <c r="C258" s="449" t="s">
        <v>5063</v>
      </c>
      <c r="D258" s="448" t="s">
        <v>5064</v>
      </c>
      <c r="E258" s="448" t="s">
        <v>5065</v>
      </c>
      <c r="F258" s="448" t="s">
        <v>5066</v>
      </c>
      <c r="G258" s="448" t="s">
        <v>5067</v>
      </c>
      <c r="H258" s="448" t="s">
        <v>5068</v>
      </c>
      <c r="I258" s="448" t="s">
        <v>5069</v>
      </c>
      <c r="J258" s="451" t="s">
        <v>5070</v>
      </c>
      <c r="K258" s="448" t="s">
        <v>5071</v>
      </c>
      <c r="L258" s="448" t="s">
        <v>5072</v>
      </c>
      <c r="M258" s="448" t="s">
        <v>5073</v>
      </c>
      <c r="N258" s="448" t="s">
        <v>5074</v>
      </c>
      <c r="O258" s="448" t="s">
        <v>5075</v>
      </c>
      <c r="P258" s="448" t="s">
        <v>5064</v>
      </c>
      <c r="Q258" s="448" t="s">
        <v>5076</v>
      </c>
      <c r="R258" s="453" t="s">
        <v>5077</v>
      </c>
      <c r="S258" s="448" t="s">
        <v>5078</v>
      </c>
      <c r="T258" s="448" t="s">
        <v>5079</v>
      </c>
      <c r="U258" s="448" t="s">
        <v>5080</v>
      </c>
      <c r="V258" s="448" t="s">
        <v>5081</v>
      </c>
    </row>
    <row r="259" spans="1:22">
      <c r="A259" s="448">
        <v>259</v>
      </c>
      <c r="B259" s="448" t="str">
        <f t="shared" si="4"/>
        <v>Trad259</v>
      </c>
      <c r="C259" s="449" t="s">
        <v>5082</v>
      </c>
      <c r="D259" s="448" t="s">
        <v>5083</v>
      </c>
      <c r="E259" s="448" t="s">
        <v>5084</v>
      </c>
      <c r="F259" s="448" t="s">
        <v>5085</v>
      </c>
      <c r="G259" s="448" t="s">
        <v>5086</v>
      </c>
      <c r="H259" s="448" t="s">
        <v>5087</v>
      </c>
      <c r="I259" s="448" t="s">
        <v>5088</v>
      </c>
      <c r="J259" s="451" t="s">
        <v>5089</v>
      </c>
      <c r="K259" s="448" t="s">
        <v>5090</v>
      </c>
      <c r="L259" s="448" t="s">
        <v>5091</v>
      </c>
      <c r="M259" s="448" t="s">
        <v>5092</v>
      </c>
      <c r="N259" s="448" t="s">
        <v>5093</v>
      </c>
      <c r="O259" s="448" t="s">
        <v>5094</v>
      </c>
      <c r="P259" s="448" t="s">
        <v>5095</v>
      </c>
      <c r="Q259" s="448" t="s">
        <v>5096</v>
      </c>
      <c r="R259" s="453" t="s">
        <v>5097</v>
      </c>
      <c r="S259" s="448" t="s">
        <v>5098</v>
      </c>
      <c r="T259" s="448" t="s">
        <v>5099</v>
      </c>
      <c r="U259" s="448" t="s">
        <v>5100</v>
      </c>
      <c r="V259" s="448" t="s">
        <v>5101</v>
      </c>
    </row>
    <row r="260" spans="1:22">
      <c r="A260" s="448">
        <v>260</v>
      </c>
      <c r="B260" s="448" t="str">
        <f t="shared" si="4"/>
        <v>Trad260</v>
      </c>
      <c r="C260" s="449" t="s">
        <v>5102</v>
      </c>
      <c r="D260" s="450" t="s">
        <v>5103</v>
      </c>
      <c r="E260" s="448" t="s">
        <v>1454</v>
      </c>
      <c r="F260" s="448" t="s">
        <v>5104</v>
      </c>
      <c r="G260" s="448" t="s">
        <v>5105</v>
      </c>
      <c r="H260" s="448" t="s">
        <v>5106</v>
      </c>
      <c r="I260" s="448" t="s">
        <v>5107</v>
      </c>
      <c r="J260" s="451" t="s">
        <v>5108</v>
      </c>
      <c r="K260" s="448" t="s">
        <v>5109</v>
      </c>
      <c r="L260" s="448" t="s">
        <v>5110</v>
      </c>
      <c r="M260" s="448" t="s">
        <v>5111</v>
      </c>
      <c r="N260" s="448" t="s">
        <v>5112</v>
      </c>
      <c r="O260" s="448" t="s">
        <v>5113</v>
      </c>
      <c r="P260" s="448" t="s">
        <v>5108</v>
      </c>
      <c r="Q260" s="448" t="s">
        <v>5114</v>
      </c>
      <c r="R260" s="453" t="s">
        <v>5115</v>
      </c>
      <c r="S260" s="448" t="s">
        <v>5116</v>
      </c>
      <c r="T260" s="448" t="s">
        <v>5117</v>
      </c>
      <c r="U260" s="448" t="s">
        <v>5118</v>
      </c>
      <c r="V260" s="448" t="s">
        <v>5119</v>
      </c>
    </row>
    <row r="261" spans="1:22">
      <c r="A261" s="448">
        <v>261</v>
      </c>
      <c r="B261" s="448" t="str">
        <f t="shared" si="4"/>
        <v>Trad261</v>
      </c>
      <c r="C261" s="449" t="s">
        <v>5120</v>
      </c>
      <c r="D261" s="448" t="s">
        <v>5121</v>
      </c>
      <c r="E261" s="448" t="s">
        <v>5122</v>
      </c>
      <c r="F261" s="448" t="s">
        <v>5123</v>
      </c>
      <c r="G261" s="448" t="s">
        <v>5124</v>
      </c>
      <c r="H261" s="448" t="s">
        <v>5125</v>
      </c>
      <c r="I261" s="448" t="s">
        <v>5126</v>
      </c>
      <c r="J261" s="451" t="s">
        <v>5127</v>
      </c>
      <c r="K261" s="448" t="s">
        <v>5128</v>
      </c>
      <c r="L261" s="448" t="s">
        <v>5129</v>
      </c>
      <c r="M261" s="448" t="s">
        <v>5130</v>
      </c>
      <c r="N261" s="448" t="s">
        <v>5131</v>
      </c>
      <c r="O261" s="448" t="s">
        <v>5132</v>
      </c>
      <c r="P261" s="448" t="s">
        <v>5133</v>
      </c>
      <c r="Q261" s="448" t="s">
        <v>5134</v>
      </c>
      <c r="R261" s="453" t="s">
        <v>5135</v>
      </c>
      <c r="S261" s="448" t="s">
        <v>5136</v>
      </c>
      <c r="T261" s="448" t="s">
        <v>5137</v>
      </c>
      <c r="U261" s="448" t="s">
        <v>5138</v>
      </c>
      <c r="V261" s="448" t="s">
        <v>5139</v>
      </c>
    </row>
    <row r="262" spans="1:22" ht="15">
      <c r="A262" s="448">
        <v>262</v>
      </c>
      <c r="B262" s="448" t="str">
        <f t="shared" si="4"/>
        <v>Trad262</v>
      </c>
      <c r="C262" s="449" t="s">
        <v>5140</v>
      </c>
      <c r="D262" s="448" t="s">
        <v>5141</v>
      </c>
      <c r="E262" s="448" t="s">
        <v>5142</v>
      </c>
      <c r="F262" s="448" t="s">
        <v>5143</v>
      </c>
      <c r="G262" s="448" t="s">
        <v>5144</v>
      </c>
      <c r="H262" s="448" t="s">
        <v>5145</v>
      </c>
      <c r="I262" s="448" t="s">
        <v>5146</v>
      </c>
      <c r="J262" s="451" t="s">
        <v>5147</v>
      </c>
      <c r="K262" s="461" t="s">
        <v>5148</v>
      </c>
      <c r="L262" s="448" t="s">
        <v>5149</v>
      </c>
      <c r="M262" s="448" t="s">
        <v>5150</v>
      </c>
      <c r="N262" s="448" t="s">
        <v>5151</v>
      </c>
      <c r="O262" s="448" t="s">
        <v>5152</v>
      </c>
      <c r="P262" s="448" t="s">
        <v>5153</v>
      </c>
      <c r="Q262" s="448" t="s">
        <v>5154</v>
      </c>
      <c r="R262" s="453" t="s">
        <v>5155</v>
      </c>
      <c r="S262" s="448" t="s">
        <v>5156</v>
      </c>
      <c r="T262" s="448" t="s">
        <v>5157</v>
      </c>
      <c r="U262" s="448" t="s">
        <v>5158</v>
      </c>
      <c r="V262" s="448" t="s">
        <v>5159</v>
      </c>
    </row>
    <row r="263" spans="1:22" ht="15">
      <c r="A263" s="448">
        <v>263</v>
      </c>
      <c r="B263" s="448" t="str">
        <f t="shared" si="4"/>
        <v>Trad263</v>
      </c>
      <c r="C263" s="449" t="s">
        <v>5160</v>
      </c>
      <c r="D263" s="448" t="s">
        <v>5161</v>
      </c>
      <c r="E263" s="448" t="s">
        <v>5162</v>
      </c>
      <c r="F263" s="448" t="s">
        <v>5163</v>
      </c>
      <c r="G263" s="448" t="s">
        <v>5164</v>
      </c>
      <c r="H263" s="448" t="s">
        <v>5165</v>
      </c>
      <c r="I263" s="448" t="s">
        <v>5166</v>
      </c>
      <c r="J263" s="451" t="s">
        <v>5167</v>
      </c>
      <c r="K263" s="461" t="s">
        <v>5168</v>
      </c>
      <c r="L263" s="448" t="s">
        <v>5169</v>
      </c>
      <c r="M263" s="448" t="s">
        <v>5170</v>
      </c>
      <c r="N263" s="448" t="s">
        <v>5171</v>
      </c>
      <c r="O263" s="448" t="s">
        <v>5172</v>
      </c>
      <c r="P263" s="448" t="s">
        <v>5173</v>
      </c>
      <c r="Q263" s="448" t="s">
        <v>5174</v>
      </c>
      <c r="R263" s="453" t="s">
        <v>5175</v>
      </c>
      <c r="S263" s="448" t="s">
        <v>5176</v>
      </c>
      <c r="T263" s="448" t="s">
        <v>5177</v>
      </c>
      <c r="U263" s="448" t="s">
        <v>5178</v>
      </c>
      <c r="V263" s="448" t="s">
        <v>5179</v>
      </c>
    </row>
    <row r="264" spans="1:22" ht="15">
      <c r="A264" s="448">
        <v>264</v>
      </c>
      <c r="B264" s="448" t="str">
        <f t="shared" si="4"/>
        <v>Trad264</v>
      </c>
      <c r="C264" s="449" t="s">
        <v>5180</v>
      </c>
      <c r="D264" s="448" t="s">
        <v>5181</v>
      </c>
      <c r="E264" s="448" t="s">
        <v>5182</v>
      </c>
      <c r="F264" s="448" t="s">
        <v>5183</v>
      </c>
      <c r="G264" s="448" t="s">
        <v>5184</v>
      </c>
      <c r="H264" s="448" t="s">
        <v>5185</v>
      </c>
      <c r="I264" s="448" t="s">
        <v>5186</v>
      </c>
      <c r="J264" s="451" t="s">
        <v>5184</v>
      </c>
      <c r="K264" s="461" t="s">
        <v>5187</v>
      </c>
      <c r="L264" s="448" t="s">
        <v>5188</v>
      </c>
      <c r="M264" s="448" t="s">
        <v>5189</v>
      </c>
      <c r="N264" s="448" t="s">
        <v>5190</v>
      </c>
      <c r="O264" s="448" t="s">
        <v>5191</v>
      </c>
      <c r="P264" s="448" t="s">
        <v>5192</v>
      </c>
      <c r="Q264" s="448" t="s">
        <v>5184</v>
      </c>
      <c r="R264" s="453" t="s">
        <v>5193</v>
      </c>
      <c r="S264" s="448" t="s">
        <v>5194</v>
      </c>
      <c r="T264" s="448" t="s">
        <v>5195</v>
      </c>
      <c r="U264" s="448" t="s">
        <v>5196</v>
      </c>
      <c r="V264" s="448" t="s">
        <v>5197</v>
      </c>
    </row>
    <row r="265" spans="1:22" ht="15">
      <c r="A265" s="448">
        <v>265</v>
      </c>
      <c r="B265" s="448" t="str">
        <f t="shared" si="4"/>
        <v>Trad265</v>
      </c>
      <c r="C265" s="449" t="s">
        <v>5198</v>
      </c>
      <c r="D265" s="448" t="s">
        <v>5199</v>
      </c>
      <c r="E265" s="448" t="s">
        <v>5200</v>
      </c>
      <c r="F265" s="448" t="s">
        <v>5201</v>
      </c>
      <c r="G265" s="448" t="s">
        <v>5202</v>
      </c>
      <c r="H265" s="448" t="s">
        <v>5203</v>
      </c>
      <c r="I265" s="448" t="s">
        <v>5204</v>
      </c>
      <c r="J265" s="451" t="s">
        <v>5205</v>
      </c>
      <c r="K265" s="461" t="s">
        <v>5206</v>
      </c>
      <c r="L265" s="448" t="s">
        <v>5207</v>
      </c>
      <c r="M265" s="448" t="s">
        <v>5208</v>
      </c>
      <c r="N265" s="448" t="s">
        <v>5209</v>
      </c>
      <c r="O265" s="448" t="s">
        <v>5210</v>
      </c>
      <c r="P265" s="448" t="s">
        <v>5211</v>
      </c>
      <c r="Q265" s="448" t="s">
        <v>5212</v>
      </c>
      <c r="R265" s="453" t="s">
        <v>5213</v>
      </c>
      <c r="S265" s="448" t="s">
        <v>5214</v>
      </c>
      <c r="T265" s="448" t="s">
        <v>5215</v>
      </c>
      <c r="U265" s="448" t="s">
        <v>5216</v>
      </c>
      <c r="V265" s="448" t="s">
        <v>5217</v>
      </c>
    </row>
    <row r="266" spans="1:22" ht="15">
      <c r="A266" s="448">
        <v>266</v>
      </c>
      <c r="B266" s="448" t="str">
        <f t="shared" si="4"/>
        <v>Trad266</v>
      </c>
      <c r="C266" s="449" t="s">
        <v>5218</v>
      </c>
      <c r="D266" s="448" t="s">
        <v>5219</v>
      </c>
      <c r="E266" s="448" t="s">
        <v>5220</v>
      </c>
      <c r="F266" s="448" t="s">
        <v>5221</v>
      </c>
      <c r="G266" s="448" t="s">
        <v>5222</v>
      </c>
      <c r="H266" s="448" t="s">
        <v>5223</v>
      </c>
      <c r="I266" s="448" t="s">
        <v>5224</v>
      </c>
      <c r="J266" s="451" t="s">
        <v>5225</v>
      </c>
      <c r="K266" s="461" t="s">
        <v>5226</v>
      </c>
      <c r="L266" s="448" t="s">
        <v>5227</v>
      </c>
      <c r="M266" s="448" t="s">
        <v>5228</v>
      </c>
      <c r="N266" s="448" t="s">
        <v>5229</v>
      </c>
      <c r="O266" s="448" t="s">
        <v>5230</v>
      </c>
      <c r="P266" s="448" t="s">
        <v>5231</v>
      </c>
      <c r="Q266" s="448" t="s">
        <v>5232</v>
      </c>
      <c r="R266" s="453" t="s">
        <v>5233</v>
      </c>
      <c r="S266" s="448" t="s">
        <v>5234</v>
      </c>
      <c r="T266" s="448" t="s">
        <v>5235</v>
      </c>
      <c r="U266" s="448" t="s">
        <v>5236</v>
      </c>
      <c r="V266" s="448" t="s">
        <v>5237</v>
      </c>
    </row>
    <row r="267" spans="1:22" ht="15">
      <c r="A267" s="448">
        <v>267</v>
      </c>
      <c r="B267" s="448" t="str">
        <f t="shared" si="4"/>
        <v>Trad267</v>
      </c>
      <c r="C267" s="449" t="s">
        <v>5238</v>
      </c>
      <c r="D267" s="448" t="s">
        <v>5239</v>
      </c>
      <c r="E267" s="448" t="s">
        <v>5240</v>
      </c>
      <c r="F267" s="448" t="s">
        <v>5241</v>
      </c>
      <c r="G267" s="448" t="s">
        <v>5242</v>
      </c>
      <c r="H267" s="448" t="s">
        <v>5243</v>
      </c>
      <c r="I267" s="448" t="s">
        <v>5244</v>
      </c>
      <c r="J267" s="451" t="s">
        <v>5245</v>
      </c>
      <c r="K267" s="461" t="s">
        <v>5246</v>
      </c>
      <c r="L267" s="448" t="s">
        <v>5247</v>
      </c>
      <c r="M267" s="448" t="s">
        <v>5248</v>
      </c>
      <c r="N267" s="448" t="s">
        <v>5249</v>
      </c>
      <c r="O267" s="448" t="s">
        <v>5250</v>
      </c>
      <c r="P267" s="448" t="s">
        <v>5251</v>
      </c>
      <c r="Q267" s="448" t="s">
        <v>5252</v>
      </c>
      <c r="R267" s="453" t="s">
        <v>5253</v>
      </c>
      <c r="S267" s="448" t="s">
        <v>5254</v>
      </c>
      <c r="T267" s="448" t="s">
        <v>5255</v>
      </c>
      <c r="U267" s="448" t="s">
        <v>5256</v>
      </c>
      <c r="V267" s="448" t="s">
        <v>5257</v>
      </c>
    </row>
    <row r="268" spans="1:22" ht="15">
      <c r="A268" s="448">
        <v>268</v>
      </c>
      <c r="B268" s="448" t="str">
        <f t="shared" si="4"/>
        <v>Trad268</v>
      </c>
      <c r="C268" s="449" t="s">
        <v>5258</v>
      </c>
      <c r="D268" s="448" t="s">
        <v>5259</v>
      </c>
      <c r="E268" s="448" t="s">
        <v>5260</v>
      </c>
      <c r="F268" s="448" t="s">
        <v>5261</v>
      </c>
      <c r="G268" s="448" t="s">
        <v>5262</v>
      </c>
      <c r="H268" s="448" t="s">
        <v>5263</v>
      </c>
      <c r="I268" s="448" t="s">
        <v>5264</v>
      </c>
      <c r="J268" s="451" t="s">
        <v>5265</v>
      </c>
      <c r="K268" s="461" t="s">
        <v>5266</v>
      </c>
      <c r="L268" s="448" t="s">
        <v>5267</v>
      </c>
      <c r="M268" s="448" t="s">
        <v>5268</v>
      </c>
      <c r="N268" s="448" t="s">
        <v>5269</v>
      </c>
      <c r="O268" s="448" t="s">
        <v>5270</v>
      </c>
      <c r="P268" s="448" t="s">
        <v>5271</v>
      </c>
      <c r="Q268" s="448" t="s">
        <v>5272</v>
      </c>
      <c r="R268" s="453" t="s">
        <v>5273</v>
      </c>
      <c r="S268" s="448" t="s">
        <v>5274</v>
      </c>
      <c r="T268" s="448" t="s">
        <v>5275</v>
      </c>
      <c r="U268" s="448" t="s">
        <v>5276</v>
      </c>
      <c r="V268" s="448" t="s">
        <v>5277</v>
      </c>
    </row>
    <row r="269" spans="1:22" ht="15">
      <c r="A269" s="448">
        <v>269</v>
      </c>
      <c r="B269" s="448" t="str">
        <f t="shared" si="4"/>
        <v>Trad269</v>
      </c>
      <c r="C269" s="449" t="s">
        <v>5278</v>
      </c>
      <c r="D269" s="448" t="s">
        <v>5279</v>
      </c>
      <c r="E269" s="448" t="s">
        <v>5280</v>
      </c>
      <c r="F269" s="448" t="s">
        <v>5281</v>
      </c>
      <c r="G269" s="448" t="s">
        <v>5282</v>
      </c>
      <c r="H269" s="448" t="s">
        <v>5283</v>
      </c>
      <c r="I269" s="448" t="s">
        <v>5284</v>
      </c>
      <c r="J269" s="451" t="s">
        <v>5285</v>
      </c>
      <c r="K269" s="461" t="s">
        <v>5286</v>
      </c>
      <c r="L269" s="448" t="s">
        <v>5287</v>
      </c>
      <c r="M269" s="448" t="s">
        <v>5288</v>
      </c>
      <c r="N269" s="448" t="s">
        <v>5289</v>
      </c>
      <c r="O269" s="448" t="s">
        <v>5290</v>
      </c>
      <c r="P269" s="448" t="s">
        <v>5291</v>
      </c>
      <c r="Q269" s="448" t="s">
        <v>5292</v>
      </c>
      <c r="R269" s="453" t="s">
        <v>5293</v>
      </c>
      <c r="S269" s="448" t="s">
        <v>5294</v>
      </c>
      <c r="T269" s="448" t="s">
        <v>5295</v>
      </c>
      <c r="U269" s="448" t="s">
        <v>5296</v>
      </c>
      <c r="V269" s="448" t="s">
        <v>5297</v>
      </c>
    </row>
    <row r="270" spans="1:22" ht="15">
      <c r="A270" s="448">
        <v>270</v>
      </c>
      <c r="B270" s="448" t="str">
        <f t="shared" si="4"/>
        <v>Trad270</v>
      </c>
      <c r="C270" s="449" t="s">
        <v>5298</v>
      </c>
      <c r="D270" s="448" t="s">
        <v>5299</v>
      </c>
      <c r="E270" s="448" t="s">
        <v>5300</v>
      </c>
      <c r="F270" s="448" t="s">
        <v>5301</v>
      </c>
      <c r="G270" s="448" t="s">
        <v>5302</v>
      </c>
      <c r="H270" s="448" t="s">
        <v>5303</v>
      </c>
      <c r="I270" s="448" t="s">
        <v>5304</v>
      </c>
      <c r="J270" s="451" t="s">
        <v>5305</v>
      </c>
      <c r="K270" s="461" t="s">
        <v>5306</v>
      </c>
      <c r="L270" s="448" t="s">
        <v>5307</v>
      </c>
      <c r="M270" s="448" t="s">
        <v>5308</v>
      </c>
      <c r="N270" s="448" t="s">
        <v>5309</v>
      </c>
      <c r="O270" s="448" t="s">
        <v>5310</v>
      </c>
      <c r="P270" s="448" t="s">
        <v>5311</v>
      </c>
      <c r="Q270" s="448" t="s">
        <v>5312</v>
      </c>
      <c r="R270" s="453" t="s">
        <v>5313</v>
      </c>
      <c r="S270" s="448" t="s">
        <v>5314</v>
      </c>
      <c r="T270" s="448" t="s">
        <v>5315</v>
      </c>
      <c r="U270" s="448" t="s">
        <v>5316</v>
      </c>
      <c r="V270" s="448" t="s">
        <v>5317</v>
      </c>
    </row>
    <row r="271" spans="1:22" ht="15">
      <c r="A271" s="448">
        <v>271</v>
      </c>
      <c r="B271" s="448" t="str">
        <f t="shared" si="4"/>
        <v>Trad271</v>
      </c>
      <c r="C271" s="449" t="s">
        <v>5318</v>
      </c>
      <c r="D271" s="448" t="s">
        <v>5319</v>
      </c>
      <c r="E271" s="448" t="s">
        <v>5320</v>
      </c>
      <c r="F271" s="448" t="s">
        <v>5321</v>
      </c>
      <c r="G271" s="448" t="s">
        <v>5322</v>
      </c>
      <c r="H271" s="448" t="s">
        <v>5320</v>
      </c>
      <c r="I271" s="448" t="s">
        <v>5323</v>
      </c>
      <c r="J271" s="451" t="s">
        <v>5324</v>
      </c>
      <c r="K271" s="461" t="s">
        <v>5318</v>
      </c>
      <c r="L271" s="448" t="s">
        <v>5325</v>
      </c>
      <c r="M271" s="448" t="s">
        <v>5318</v>
      </c>
      <c r="N271" s="448" t="s">
        <v>5326</v>
      </c>
      <c r="O271" s="448" t="s">
        <v>5327</v>
      </c>
      <c r="P271" s="448" t="s">
        <v>5319</v>
      </c>
      <c r="Q271" s="448" t="s">
        <v>5328</v>
      </c>
      <c r="R271" s="453" t="s">
        <v>5318</v>
      </c>
      <c r="S271" s="448" t="s">
        <v>5329</v>
      </c>
      <c r="T271" s="448" t="s">
        <v>5329</v>
      </c>
      <c r="U271" s="448" t="s">
        <v>5330</v>
      </c>
      <c r="V271" s="448" t="s">
        <v>5331</v>
      </c>
    </row>
    <row r="272" spans="1:22" ht="15">
      <c r="A272" s="448">
        <v>272</v>
      </c>
      <c r="B272" s="448" t="str">
        <f t="shared" si="4"/>
        <v>Trad272</v>
      </c>
      <c r="C272" s="449" t="s">
        <v>5332</v>
      </c>
      <c r="D272" s="448" t="s">
        <v>5333</v>
      </c>
      <c r="E272" s="448" t="s">
        <v>5334</v>
      </c>
      <c r="F272" s="448" t="s">
        <v>5335</v>
      </c>
      <c r="G272" s="448" t="s">
        <v>5336</v>
      </c>
      <c r="H272" s="448" t="s">
        <v>5337</v>
      </c>
      <c r="I272" s="448" t="s">
        <v>5338</v>
      </c>
      <c r="J272" s="451" t="s">
        <v>5339</v>
      </c>
      <c r="K272" s="461" t="s">
        <v>5340</v>
      </c>
      <c r="L272" s="448" t="s">
        <v>5341</v>
      </c>
      <c r="M272" s="448" t="s">
        <v>5342</v>
      </c>
      <c r="N272" s="448" t="s">
        <v>5339</v>
      </c>
      <c r="O272" s="448" t="s">
        <v>5343</v>
      </c>
      <c r="P272" s="448" t="s">
        <v>5344</v>
      </c>
      <c r="Q272" s="448" t="s">
        <v>5345</v>
      </c>
      <c r="R272" s="453" t="s">
        <v>5339</v>
      </c>
      <c r="S272" s="448" t="s">
        <v>5346</v>
      </c>
      <c r="T272" s="448" t="s">
        <v>5347</v>
      </c>
      <c r="U272" s="448" t="s">
        <v>5348</v>
      </c>
      <c r="V272" s="448" t="s">
        <v>5349</v>
      </c>
    </row>
    <row r="273" spans="1:22" ht="15">
      <c r="A273" s="448">
        <v>273</v>
      </c>
      <c r="B273" s="448" t="str">
        <f t="shared" si="4"/>
        <v>Trad273</v>
      </c>
      <c r="C273" s="449" t="s">
        <v>5350</v>
      </c>
      <c r="D273" s="448" t="s">
        <v>5351</v>
      </c>
      <c r="E273" s="448" t="s">
        <v>5352</v>
      </c>
      <c r="F273" s="448" t="s">
        <v>5353</v>
      </c>
      <c r="G273" s="448" t="s">
        <v>5354</v>
      </c>
      <c r="H273" s="448" t="s">
        <v>5355</v>
      </c>
      <c r="I273" s="448" t="s">
        <v>5356</v>
      </c>
      <c r="J273" s="451" t="s">
        <v>5357</v>
      </c>
      <c r="K273" s="461" t="s">
        <v>5358</v>
      </c>
      <c r="L273" s="448" t="s">
        <v>5359</v>
      </c>
      <c r="M273" s="448" t="s">
        <v>5357</v>
      </c>
      <c r="N273" s="448" t="s">
        <v>5357</v>
      </c>
      <c r="O273" s="448" t="s">
        <v>5360</v>
      </c>
      <c r="P273" s="448" t="s">
        <v>5351</v>
      </c>
      <c r="Q273" s="448" t="s">
        <v>5361</v>
      </c>
      <c r="R273" s="453" t="s">
        <v>5357</v>
      </c>
      <c r="S273" s="448" t="s">
        <v>5362</v>
      </c>
      <c r="T273" s="448" t="s">
        <v>5363</v>
      </c>
      <c r="U273" s="448" t="s">
        <v>5364</v>
      </c>
      <c r="V273" s="448" t="s">
        <v>5365</v>
      </c>
    </row>
    <row r="274" spans="1:22" ht="15">
      <c r="A274" s="448">
        <v>274</v>
      </c>
      <c r="B274" s="448" t="str">
        <f t="shared" si="4"/>
        <v>Trad274</v>
      </c>
      <c r="C274" s="449" t="s">
        <v>5366</v>
      </c>
      <c r="D274" s="448" t="s">
        <v>5367</v>
      </c>
      <c r="E274" s="448" t="s">
        <v>5368</v>
      </c>
      <c r="F274" s="448" t="s">
        <v>5369</v>
      </c>
      <c r="G274" s="448" t="s">
        <v>5370</v>
      </c>
      <c r="H274" s="448" t="s">
        <v>5368</v>
      </c>
      <c r="I274" s="448" t="s">
        <v>5371</v>
      </c>
      <c r="J274" s="451" t="s">
        <v>5372</v>
      </c>
      <c r="K274" s="461" t="s">
        <v>5373</v>
      </c>
      <c r="L274" s="448" t="s">
        <v>5374</v>
      </c>
      <c r="M274" s="448" t="s">
        <v>5375</v>
      </c>
      <c r="N274" s="448" t="s">
        <v>5372</v>
      </c>
      <c r="O274" s="448" t="s">
        <v>5376</v>
      </c>
      <c r="P274" s="448" t="s">
        <v>5377</v>
      </c>
      <c r="Q274" s="448" t="s">
        <v>5378</v>
      </c>
      <c r="R274" s="453" t="s">
        <v>5379</v>
      </c>
      <c r="S274" s="448" t="s">
        <v>5372</v>
      </c>
      <c r="T274" s="448" t="s">
        <v>5372</v>
      </c>
      <c r="U274" s="448" t="s">
        <v>5380</v>
      </c>
      <c r="V274" s="448" t="s">
        <v>5381</v>
      </c>
    </row>
    <row r="275" spans="1:22" ht="15">
      <c r="A275" s="448">
        <v>275</v>
      </c>
      <c r="B275" s="448" t="str">
        <f t="shared" si="4"/>
        <v>Trad275</v>
      </c>
      <c r="C275" s="449" t="s">
        <v>23</v>
      </c>
      <c r="D275" s="448" t="s">
        <v>3388</v>
      </c>
      <c r="E275" s="448" t="s">
        <v>3389</v>
      </c>
      <c r="F275" s="448" t="s">
        <v>5382</v>
      </c>
      <c r="G275" s="448" t="s">
        <v>3391</v>
      </c>
      <c r="H275" s="448" t="s">
        <v>3392</v>
      </c>
      <c r="I275" s="448" t="s">
        <v>3393</v>
      </c>
      <c r="J275" s="451" t="s">
        <v>3394</v>
      </c>
      <c r="K275" s="461" t="s">
        <v>3395</v>
      </c>
      <c r="L275" s="448" t="s">
        <v>3396</v>
      </c>
      <c r="M275" s="448" t="s">
        <v>3397</v>
      </c>
      <c r="N275" s="448" t="s">
        <v>3398</v>
      </c>
      <c r="O275" s="448" t="s">
        <v>3399</v>
      </c>
      <c r="P275" s="448" t="s">
        <v>3400</v>
      </c>
      <c r="Q275" s="448" t="s">
        <v>3390</v>
      </c>
      <c r="R275" s="453" t="s">
        <v>5383</v>
      </c>
      <c r="S275" s="448" t="s">
        <v>3402</v>
      </c>
      <c r="T275" s="448" t="s">
        <v>3403</v>
      </c>
      <c r="U275" s="448" t="s">
        <v>3404</v>
      </c>
      <c r="V275" s="448" t="s">
        <v>5384</v>
      </c>
    </row>
    <row r="276" spans="1:22" ht="15">
      <c r="A276" s="448">
        <v>276</v>
      </c>
      <c r="B276" s="448" t="str">
        <f t="shared" si="4"/>
        <v>Trad276</v>
      </c>
      <c r="C276" s="449" t="s">
        <v>83</v>
      </c>
      <c r="D276" s="448" t="s">
        <v>5385</v>
      </c>
      <c r="E276" s="448" t="s">
        <v>5386</v>
      </c>
      <c r="F276" s="448" t="s">
        <v>5387</v>
      </c>
      <c r="G276" s="448" t="s">
        <v>5388</v>
      </c>
      <c r="H276" s="448" t="s">
        <v>5389</v>
      </c>
      <c r="I276" s="448" t="s">
        <v>5390</v>
      </c>
      <c r="J276" s="451" t="s">
        <v>171</v>
      </c>
      <c r="K276" s="461" t="s">
        <v>5391</v>
      </c>
      <c r="L276" s="448" t="s">
        <v>5392</v>
      </c>
      <c r="M276" s="448" t="s">
        <v>5393</v>
      </c>
      <c r="N276" s="448" t="s">
        <v>5394</v>
      </c>
      <c r="O276" s="448" t="s">
        <v>5395</v>
      </c>
      <c r="P276" s="448" t="s">
        <v>5396</v>
      </c>
      <c r="Q276" s="448" t="s">
        <v>5397</v>
      </c>
      <c r="R276" s="453" t="s">
        <v>5398</v>
      </c>
      <c r="S276" s="448" t="s">
        <v>5399</v>
      </c>
      <c r="T276" s="448" t="s">
        <v>5400</v>
      </c>
      <c r="U276" s="448" t="s">
        <v>5401</v>
      </c>
      <c r="V276" s="448" t="s">
        <v>5402</v>
      </c>
    </row>
    <row r="277" spans="1:22" ht="15">
      <c r="A277" s="448">
        <v>277</v>
      </c>
      <c r="B277" s="448" t="str">
        <f t="shared" si="4"/>
        <v>Trad277</v>
      </c>
      <c r="C277" s="449" t="s">
        <v>5403</v>
      </c>
      <c r="D277" s="448" t="s">
        <v>5404</v>
      </c>
      <c r="E277" s="448" t="s">
        <v>5405</v>
      </c>
      <c r="F277" s="448" t="s">
        <v>5406</v>
      </c>
      <c r="G277" s="448" t="s">
        <v>5407</v>
      </c>
      <c r="H277" s="448" t="s">
        <v>5408</v>
      </c>
      <c r="I277" s="448" t="s">
        <v>5409</v>
      </c>
      <c r="J277" s="451" t="s">
        <v>5410</v>
      </c>
      <c r="K277" s="461" t="s">
        <v>5411</v>
      </c>
      <c r="L277" s="448" t="s">
        <v>5412</v>
      </c>
      <c r="M277" s="448" t="s">
        <v>5413</v>
      </c>
      <c r="N277" s="448" t="s">
        <v>5414</v>
      </c>
      <c r="O277" s="448" t="s">
        <v>5415</v>
      </c>
      <c r="P277" s="448" t="s">
        <v>5404</v>
      </c>
      <c r="Q277" s="448" t="s">
        <v>5416</v>
      </c>
      <c r="R277" s="453" t="s">
        <v>5417</v>
      </c>
      <c r="S277" s="448" t="s">
        <v>5418</v>
      </c>
      <c r="T277" s="448" t="s">
        <v>5419</v>
      </c>
      <c r="U277" s="448" t="s">
        <v>5420</v>
      </c>
      <c r="V277" s="448" t="s">
        <v>5421</v>
      </c>
    </row>
    <row r="278" spans="1:22" ht="15">
      <c r="A278" s="448">
        <v>278</v>
      </c>
      <c r="B278" s="448" t="str">
        <f t="shared" si="4"/>
        <v>Trad278</v>
      </c>
      <c r="C278" s="449" t="s">
        <v>5422</v>
      </c>
      <c r="D278" s="448" t="s">
        <v>5423</v>
      </c>
      <c r="E278" s="448" t="s">
        <v>5424</v>
      </c>
      <c r="F278" s="448" t="s">
        <v>5425</v>
      </c>
      <c r="G278" s="448" t="s">
        <v>5426</v>
      </c>
      <c r="H278" s="448" t="s">
        <v>5427</v>
      </c>
      <c r="I278" s="448" t="s">
        <v>5428</v>
      </c>
      <c r="J278" s="451" t="s">
        <v>5429</v>
      </c>
      <c r="K278" s="461" t="s">
        <v>5430</v>
      </c>
      <c r="L278" s="448" t="s">
        <v>5431</v>
      </c>
      <c r="M278" s="448" t="s">
        <v>5432</v>
      </c>
      <c r="N278" s="448" t="s">
        <v>5433</v>
      </c>
      <c r="O278" s="448" t="s">
        <v>5434</v>
      </c>
      <c r="P278" s="448" t="s">
        <v>5435</v>
      </c>
      <c r="Q278" s="448" t="s">
        <v>5436</v>
      </c>
      <c r="R278" s="453" t="s">
        <v>5437</v>
      </c>
      <c r="S278" s="448" t="s">
        <v>5438</v>
      </c>
      <c r="T278" s="448" t="s">
        <v>5439</v>
      </c>
      <c r="U278" s="448" t="s">
        <v>5440</v>
      </c>
      <c r="V278" s="448" t="s">
        <v>5441</v>
      </c>
    </row>
    <row r="279" spans="1:22" ht="15">
      <c r="A279" s="448">
        <v>279</v>
      </c>
      <c r="B279" s="448" t="str">
        <f t="shared" si="4"/>
        <v>Trad279</v>
      </c>
      <c r="C279" s="449" t="s">
        <v>5442</v>
      </c>
      <c r="D279" s="448" t="s">
        <v>5443</v>
      </c>
      <c r="E279" s="448" t="s">
        <v>5444</v>
      </c>
      <c r="F279" s="448" t="s">
        <v>5445</v>
      </c>
      <c r="G279" s="448" t="s">
        <v>5446</v>
      </c>
      <c r="H279" s="448" t="s">
        <v>5447</v>
      </c>
      <c r="I279" s="448" t="s">
        <v>5448</v>
      </c>
      <c r="J279" s="451" t="s">
        <v>5446</v>
      </c>
      <c r="K279" s="461" t="s">
        <v>5449</v>
      </c>
      <c r="L279" s="448" t="s">
        <v>5450</v>
      </c>
      <c r="M279" s="448" t="s">
        <v>5451</v>
      </c>
      <c r="N279" s="448" t="s">
        <v>5452</v>
      </c>
      <c r="O279" s="448" t="s">
        <v>5453</v>
      </c>
      <c r="P279" s="448" t="s">
        <v>5454</v>
      </c>
      <c r="Q279" s="448" t="s">
        <v>5455</v>
      </c>
      <c r="R279" s="453" t="s">
        <v>5456</v>
      </c>
      <c r="S279" s="448" t="s">
        <v>5457</v>
      </c>
      <c r="T279" s="448" t="s">
        <v>5458</v>
      </c>
      <c r="U279" s="448" t="s">
        <v>5459</v>
      </c>
      <c r="V279" s="448" t="s">
        <v>5460</v>
      </c>
    </row>
    <row r="280" spans="1:22" ht="15">
      <c r="A280" s="448">
        <v>280</v>
      </c>
      <c r="B280" s="448" t="str">
        <f t="shared" si="4"/>
        <v>Trad280</v>
      </c>
      <c r="C280" s="449" t="s">
        <v>5461</v>
      </c>
      <c r="D280" s="448" t="s">
        <v>5462</v>
      </c>
      <c r="E280" s="448" t="s">
        <v>5463</v>
      </c>
      <c r="F280" s="448" t="s">
        <v>5464</v>
      </c>
      <c r="G280" s="448" t="s">
        <v>5465</v>
      </c>
      <c r="H280" s="448" t="s">
        <v>5466</v>
      </c>
      <c r="I280" s="448" t="s">
        <v>5467</v>
      </c>
      <c r="J280" s="451" t="s">
        <v>5468</v>
      </c>
      <c r="K280" s="461" t="s">
        <v>5469</v>
      </c>
      <c r="L280" s="448" t="s">
        <v>5470</v>
      </c>
      <c r="M280" s="448" t="s">
        <v>5471</v>
      </c>
      <c r="N280" s="448" t="s">
        <v>5472</v>
      </c>
      <c r="O280" s="448" t="s">
        <v>5473</v>
      </c>
      <c r="P280" s="448" t="s">
        <v>5462</v>
      </c>
      <c r="Q280" s="448" t="s">
        <v>5474</v>
      </c>
      <c r="R280" s="453" t="s">
        <v>5475</v>
      </c>
      <c r="S280" s="448" t="s">
        <v>5476</v>
      </c>
      <c r="T280" s="448" t="s">
        <v>5477</v>
      </c>
      <c r="U280" s="448" t="s">
        <v>5478</v>
      </c>
      <c r="V280" s="448" t="s">
        <v>5479</v>
      </c>
    </row>
    <row r="281" spans="1:22" ht="15">
      <c r="A281" s="448">
        <v>281</v>
      </c>
      <c r="B281" s="448" t="str">
        <f t="shared" si="4"/>
        <v>Trad281</v>
      </c>
      <c r="C281" s="449" t="s">
        <v>5480</v>
      </c>
      <c r="D281" s="448" t="s">
        <v>5481</v>
      </c>
      <c r="E281" s="448" t="s">
        <v>5482</v>
      </c>
      <c r="F281" s="448" t="s">
        <v>5483</v>
      </c>
      <c r="G281" s="448" t="s">
        <v>5484</v>
      </c>
      <c r="H281" s="448" t="s">
        <v>5485</v>
      </c>
      <c r="I281" s="448" t="s">
        <v>5486</v>
      </c>
      <c r="J281" s="451" t="s">
        <v>5487</v>
      </c>
      <c r="K281" s="461" t="s">
        <v>5469</v>
      </c>
      <c r="L281" s="448" t="s">
        <v>5488</v>
      </c>
      <c r="M281" s="448" t="s">
        <v>5489</v>
      </c>
      <c r="N281" s="448" t="s">
        <v>5490</v>
      </c>
      <c r="O281" s="448" t="s">
        <v>5491</v>
      </c>
      <c r="P281" s="448" t="s">
        <v>5492</v>
      </c>
      <c r="Q281" s="448" t="s">
        <v>5493</v>
      </c>
      <c r="R281" s="453" t="s">
        <v>5494</v>
      </c>
      <c r="S281" s="448" t="s">
        <v>5495</v>
      </c>
      <c r="T281" s="448" t="s">
        <v>5496</v>
      </c>
      <c r="U281" s="448" t="s">
        <v>5497</v>
      </c>
      <c r="V281" s="448" t="s">
        <v>5498</v>
      </c>
    </row>
    <row r="282" spans="1:22" ht="15">
      <c r="A282" s="448">
        <v>282</v>
      </c>
      <c r="B282" s="448" t="str">
        <f t="shared" si="4"/>
        <v>Trad282</v>
      </c>
      <c r="C282" s="449" t="s">
        <v>5499</v>
      </c>
      <c r="D282" s="448" t="s">
        <v>5500</v>
      </c>
      <c r="E282" s="448" t="s">
        <v>5501</v>
      </c>
      <c r="F282" s="448" t="s">
        <v>5502</v>
      </c>
      <c r="G282" s="448" t="s">
        <v>5503</v>
      </c>
      <c r="H282" s="448" t="s">
        <v>5504</v>
      </c>
      <c r="I282" s="448" t="s">
        <v>5505</v>
      </c>
      <c r="J282" s="451" t="s">
        <v>5506</v>
      </c>
      <c r="K282" s="461" t="s">
        <v>5507</v>
      </c>
      <c r="L282" s="448" t="s">
        <v>5508</v>
      </c>
      <c r="M282" s="448" t="s">
        <v>5509</v>
      </c>
      <c r="N282" s="448" t="s">
        <v>5510</v>
      </c>
      <c r="O282" s="448" t="s">
        <v>5511</v>
      </c>
      <c r="P282" s="448" t="s">
        <v>5512</v>
      </c>
      <c r="Q282" s="448" t="s">
        <v>5513</v>
      </c>
      <c r="R282" s="453" t="s">
        <v>5514</v>
      </c>
      <c r="S282" s="448" t="s">
        <v>5515</v>
      </c>
      <c r="T282" s="448" t="s">
        <v>5516</v>
      </c>
      <c r="U282" s="448" t="s">
        <v>5517</v>
      </c>
      <c r="V282" s="448" t="s">
        <v>5518</v>
      </c>
    </row>
    <row r="283" spans="1:22" ht="15">
      <c r="A283" s="448">
        <v>283</v>
      </c>
      <c r="B283" s="448" t="str">
        <f t="shared" si="4"/>
        <v>Trad283</v>
      </c>
      <c r="C283" s="449" t="s">
        <v>5519</v>
      </c>
      <c r="D283" s="448" t="s">
        <v>5520</v>
      </c>
      <c r="E283" s="448" t="s">
        <v>5521</v>
      </c>
      <c r="F283" s="448" t="s">
        <v>5522</v>
      </c>
      <c r="G283" s="448" t="s">
        <v>5523</v>
      </c>
      <c r="H283" s="448" t="s">
        <v>5524</v>
      </c>
      <c r="I283" s="448" t="s">
        <v>5525</v>
      </c>
      <c r="J283" s="451" t="s">
        <v>5526</v>
      </c>
      <c r="K283" s="461" t="s">
        <v>5527</v>
      </c>
      <c r="L283" s="448" t="s">
        <v>5528</v>
      </c>
      <c r="M283" s="448" t="s">
        <v>5529</v>
      </c>
      <c r="N283" s="448" t="s">
        <v>5530</v>
      </c>
      <c r="O283" s="448" t="s">
        <v>5531</v>
      </c>
      <c r="P283" s="448" t="s">
        <v>5532</v>
      </c>
      <c r="Q283" s="448" t="s">
        <v>5533</v>
      </c>
      <c r="R283" s="453" t="s">
        <v>5534</v>
      </c>
      <c r="S283" s="448" t="s">
        <v>5535</v>
      </c>
      <c r="T283" s="448" t="s">
        <v>5536</v>
      </c>
      <c r="U283" s="448" t="s">
        <v>5537</v>
      </c>
      <c r="V283" s="448" t="s">
        <v>5538</v>
      </c>
    </row>
    <row r="284" spans="1:22" ht="15">
      <c r="A284" s="448">
        <v>284</v>
      </c>
      <c r="B284" s="448" t="str">
        <f t="shared" si="4"/>
        <v>Trad284</v>
      </c>
      <c r="C284" s="449" t="s">
        <v>5539</v>
      </c>
      <c r="D284" s="448" t="s">
        <v>5540</v>
      </c>
      <c r="E284" s="448" t="s">
        <v>5541</v>
      </c>
      <c r="F284" s="448" t="s">
        <v>5542</v>
      </c>
      <c r="G284" s="448" t="s">
        <v>5543</v>
      </c>
      <c r="H284" s="448" t="s">
        <v>5544</v>
      </c>
      <c r="I284" s="448" t="s">
        <v>5545</v>
      </c>
      <c r="J284" s="451" t="s">
        <v>5546</v>
      </c>
      <c r="K284" s="461" t="s">
        <v>5547</v>
      </c>
      <c r="L284" s="448" t="s">
        <v>5548</v>
      </c>
      <c r="M284" s="448" t="s">
        <v>5549</v>
      </c>
      <c r="N284" s="448" t="s">
        <v>5550</v>
      </c>
      <c r="O284" s="448" t="s">
        <v>5551</v>
      </c>
      <c r="P284" s="448" t="s">
        <v>5552</v>
      </c>
      <c r="Q284" s="448" t="s">
        <v>5553</v>
      </c>
      <c r="R284" s="453" t="s">
        <v>5554</v>
      </c>
      <c r="S284" s="448" t="s">
        <v>5555</v>
      </c>
      <c r="T284" s="448" t="s">
        <v>5556</v>
      </c>
      <c r="U284" s="448" t="s">
        <v>5557</v>
      </c>
      <c r="V284" s="448" t="s">
        <v>5558</v>
      </c>
    </row>
    <row r="285" spans="1:22" ht="15">
      <c r="A285" s="448">
        <v>285</v>
      </c>
      <c r="B285" s="448" t="str">
        <f t="shared" si="4"/>
        <v>Trad285</v>
      </c>
      <c r="C285" s="449" t="s">
        <v>5559</v>
      </c>
      <c r="D285" s="448" t="s">
        <v>5560</v>
      </c>
      <c r="E285" s="448" t="s">
        <v>5561</v>
      </c>
      <c r="F285" s="448" t="s">
        <v>5562</v>
      </c>
      <c r="G285" s="448" t="s">
        <v>5563</v>
      </c>
      <c r="H285" s="448" t="s">
        <v>5564</v>
      </c>
      <c r="I285" s="448" t="s">
        <v>5565</v>
      </c>
      <c r="J285" s="451" t="s">
        <v>5566</v>
      </c>
      <c r="K285" s="461" t="s">
        <v>5567</v>
      </c>
      <c r="L285" s="448" t="s">
        <v>5568</v>
      </c>
      <c r="M285" s="448" t="s">
        <v>5569</v>
      </c>
      <c r="N285" s="448" t="s">
        <v>5570</v>
      </c>
      <c r="O285" s="448" t="s">
        <v>5571</v>
      </c>
      <c r="P285" s="448" t="s">
        <v>5572</v>
      </c>
      <c r="Q285" s="448" t="s">
        <v>5573</v>
      </c>
      <c r="R285" s="453" t="s">
        <v>5574</v>
      </c>
      <c r="S285" s="448" t="s">
        <v>5575</v>
      </c>
      <c r="T285" s="448" t="s">
        <v>5576</v>
      </c>
      <c r="U285" s="448" t="s">
        <v>5577</v>
      </c>
      <c r="V285" s="448" t="s">
        <v>5578</v>
      </c>
    </row>
    <row r="286" spans="1:22" ht="15">
      <c r="A286" s="448">
        <v>286</v>
      </c>
      <c r="B286" s="448" t="str">
        <f t="shared" si="4"/>
        <v>Trad286</v>
      </c>
      <c r="C286" s="449" t="s">
        <v>5579</v>
      </c>
      <c r="D286" s="448" t="s">
        <v>5580</v>
      </c>
      <c r="E286" s="448" t="s">
        <v>5581</v>
      </c>
      <c r="F286" s="448" t="s">
        <v>5582</v>
      </c>
      <c r="G286" s="448" t="s">
        <v>5580</v>
      </c>
      <c r="H286" s="448" t="s">
        <v>5583</v>
      </c>
      <c r="I286" s="448" t="s">
        <v>5584</v>
      </c>
      <c r="J286" s="451" t="s">
        <v>5585</v>
      </c>
      <c r="K286" s="461" t="s">
        <v>5586</v>
      </c>
      <c r="L286" s="448" t="s">
        <v>5587</v>
      </c>
      <c r="M286" s="448" t="s">
        <v>5588</v>
      </c>
      <c r="N286" s="448" t="s">
        <v>5579</v>
      </c>
      <c r="O286" s="448" t="s">
        <v>5589</v>
      </c>
      <c r="P286" s="448" t="s">
        <v>5580</v>
      </c>
      <c r="Q286" s="448" t="s">
        <v>5590</v>
      </c>
      <c r="R286" s="453" t="s">
        <v>5588</v>
      </c>
      <c r="S286" s="448" t="s">
        <v>5591</v>
      </c>
      <c r="T286" s="448" t="s">
        <v>5579</v>
      </c>
      <c r="U286" s="448" t="s">
        <v>5592</v>
      </c>
      <c r="V286" s="448" t="s">
        <v>5593</v>
      </c>
    </row>
    <row r="287" spans="1:22" ht="15">
      <c r="A287" s="448">
        <v>287</v>
      </c>
      <c r="B287" s="448" t="str">
        <f t="shared" si="4"/>
        <v>Trad287</v>
      </c>
      <c r="C287" s="449" t="s">
        <v>5594</v>
      </c>
      <c r="D287" s="448" t="s">
        <v>5595</v>
      </c>
      <c r="E287" s="448" t="s">
        <v>5596</v>
      </c>
      <c r="F287" s="448" t="s">
        <v>5597</v>
      </c>
      <c r="G287" s="448" t="s">
        <v>5598</v>
      </c>
      <c r="H287" s="448" t="s">
        <v>5599</v>
      </c>
      <c r="I287" s="448" t="s">
        <v>5600</v>
      </c>
      <c r="J287" s="451" t="s">
        <v>5601</v>
      </c>
      <c r="K287" s="461" t="s">
        <v>5602</v>
      </c>
      <c r="L287" s="448" t="s">
        <v>5603</v>
      </c>
      <c r="M287" s="448" t="s">
        <v>5604</v>
      </c>
      <c r="N287" s="448" t="s">
        <v>5605</v>
      </c>
      <c r="O287" s="448" t="s">
        <v>5606</v>
      </c>
      <c r="P287" s="448" t="s">
        <v>5607</v>
      </c>
      <c r="Q287" s="448" t="s">
        <v>5608</v>
      </c>
      <c r="R287" s="453" t="s">
        <v>5609</v>
      </c>
      <c r="S287" s="448" t="s">
        <v>5610</v>
      </c>
      <c r="T287" s="448" t="s">
        <v>5611</v>
      </c>
      <c r="U287" s="448" t="s">
        <v>5612</v>
      </c>
      <c r="V287" s="448" t="s">
        <v>5613</v>
      </c>
    </row>
    <row r="288" spans="1:22" ht="15">
      <c r="A288" s="448">
        <v>288</v>
      </c>
      <c r="B288" s="448" t="str">
        <f t="shared" si="4"/>
        <v>Trad288</v>
      </c>
      <c r="C288" s="449" t="s">
        <v>5614</v>
      </c>
      <c r="D288" s="448" t="s">
        <v>5614</v>
      </c>
      <c r="E288" s="448" t="s">
        <v>5615</v>
      </c>
      <c r="F288" s="448" t="s">
        <v>5614</v>
      </c>
      <c r="G288" s="448" t="s">
        <v>5614</v>
      </c>
      <c r="H288" s="448" t="s">
        <v>5616</v>
      </c>
      <c r="I288" s="448" t="s">
        <v>5614</v>
      </c>
      <c r="J288" s="451" t="s">
        <v>5614</v>
      </c>
      <c r="K288" s="461" t="s">
        <v>5614</v>
      </c>
      <c r="L288" s="448" t="s">
        <v>5614</v>
      </c>
      <c r="M288" s="448" t="s">
        <v>5614</v>
      </c>
      <c r="N288" s="448" t="s">
        <v>5617</v>
      </c>
      <c r="O288" s="448" t="s">
        <v>5618</v>
      </c>
      <c r="P288" s="448" t="s">
        <v>5614</v>
      </c>
      <c r="Q288" s="448" t="s">
        <v>5617</v>
      </c>
      <c r="R288" s="453" t="s">
        <v>5614</v>
      </c>
      <c r="S288" s="448" t="s">
        <v>5614</v>
      </c>
      <c r="T288" s="448" t="s">
        <v>5614</v>
      </c>
      <c r="U288" s="448" t="s">
        <v>5617</v>
      </c>
      <c r="V288" s="448" t="s">
        <v>5614</v>
      </c>
    </row>
    <row r="289" spans="1:22" ht="15">
      <c r="A289" s="448">
        <v>289</v>
      </c>
      <c r="B289" s="448" t="str">
        <f t="shared" si="4"/>
        <v>Trad289</v>
      </c>
      <c r="C289" s="449" t="s">
        <v>5619</v>
      </c>
      <c r="D289" s="448" t="s">
        <v>5619</v>
      </c>
      <c r="E289" s="448" t="s">
        <v>5620</v>
      </c>
      <c r="F289" s="448" t="s">
        <v>5619</v>
      </c>
      <c r="G289" s="448" t="s">
        <v>5619</v>
      </c>
      <c r="H289" s="448" t="s">
        <v>5619</v>
      </c>
      <c r="I289" s="448" t="s">
        <v>5621</v>
      </c>
      <c r="J289" s="451" t="s">
        <v>5619</v>
      </c>
      <c r="K289" s="461" t="s">
        <v>5619</v>
      </c>
      <c r="L289" s="448" t="s">
        <v>5619</v>
      </c>
      <c r="M289" s="448" t="s">
        <v>5619</v>
      </c>
      <c r="N289" s="448" t="s">
        <v>5619</v>
      </c>
      <c r="O289" s="448" t="s">
        <v>5622</v>
      </c>
      <c r="P289" s="448" t="s">
        <v>5619</v>
      </c>
      <c r="Q289" s="448" t="s">
        <v>5619</v>
      </c>
      <c r="R289" s="453" t="s">
        <v>5619</v>
      </c>
      <c r="S289" s="448" t="s">
        <v>5619</v>
      </c>
      <c r="T289" s="448" t="s">
        <v>5619</v>
      </c>
      <c r="U289" s="448" t="s">
        <v>5619</v>
      </c>
      <c r="V289" s="448" t="s">
        <v>5619</v>
      </c>
    </row>
    <row r="290" spans="1:22" ht="15">
      <c r="A290" s="448">
        <v>290</v>
      </c>
      <c r="B290" s="448" t="str">
        <f t="shared" si="4"/>
        <v>Trad290</v>
      </c>
      <c r="C290" s="449" t="s">
        <v>5623</v>
      </c>
      <c r="D290" s="448" t="s">
        <v>5624</v>
      </c>
      <c r="E290" s="448" t="s">
        <v>5625</v>
      </c>
      <c r="F290" s="448" t="s">
        <v>5626</v>
      </c>
      <c r="G290" s="448" t="s">
        <v>5627</v>
      </c>
      <c r="H290" s="448" t="s">
        <v>5628</v>
      </c>
      <c r="I290" s="448" t="s">
        <v>5629</v>
      </c>
      <c r="J290" s="451" t="s">
        <v>5630</v>
      </c>
      <c r="K290" s="461" t="s">
        <v>5631</v>
      </c>
      <c r="L290" s="448" t="s">
        <v>5632</v>
      </c>
      <c r="M290" s="448" t="s">
        <v>5633</v>
      </c>
      <c r="N290" s="448" t="s">
        <v>5634</v>
      </c>
      <c r="O290" s="448" t="s">
        <v>5635</v>
      </c>
      <c r="P290" s="448" t="s">
        <v>5636</v>
      </c>
      <c r="Q290" s="448" t="s">
        <v>5637</v>
      </c>
      <c r="R290" s="453" t="s">
        <v>5638</v>
      </c>
      <c r="S290" s="448" t="s">
        <v>5639</v>
      </c>
      <c r="T290" s="448" t="s">
        <v>5640</v>
      </c>
      <c r="U290" s="448" t="s">
        <v>5641</v>
      </c>
      <c r="V290" s="448" t="s">
        <v>5642</v>
      </c>
    </row>
    <row r="291" spans="1:22" ht="15">
      <c r="A291" s="448">
        <v>291</v>
      </c>
      <c r="B291" s="448" t="str">
        <f t="shared" si="4"/>
        <v>Trad291</v>
      </c>
      <c r="C291" s="449" t="s">
        <v>5643</v>
      </c>
      <c r="D291" s="448" t="s">
        <v>5644</v>
      </c>
      <c r="E291" s="448" t="s">
        <v>5645</v>
      </c>
      <c r="F291" s="448" t="s">
        <v>5646</v>
      </c>
      <c r="G291" s="448" t="s">
        <v>5647</v>
      </c>
      <c r="H291" s="448" t="s">
        <v>5648</v>
      </c>
      <c r="I291" s="448" t="s">
        <v>5649</v>
      </c>
      <c r="J291" s="451" t="s">
        <v>5650</v>
      </c>
      <c r="K291" s="461" t="s">
        <v>5651</v>
      </c>
      <c r="L291" s="448" t="s">
        <v>5652</v>
      </c>
      <c r="M291" s="448" t="s">
        <v>5653</v>
      </c>
      <c r="N291" s="448" t="s">
        <v>5654</v>
      </c>
      <c r="O291" s="448" t="s">
        <v>5655</v>
      </c>
      <c r="P291" s="448" t="s">
        <v>5656</v>
      </c>
      <c r="Q291" s="448" t="s">
        <v>5657</v>
      </c>
      <c r="R291" s="453" t="s">
        <v>5658</v>
      </c>
      <c r="S291" s="448" t="s">
        <v>5659</v>
      </c>
      <c r="T291" s="448" t="s">
        <v>5660</v>
      </c>
      <c r="U291" s="448" t="s">
        <v>5661</v>
      </c>
      <c r="V291" s="448" t="s">
        <v>5662</v>
      </c>
    </row>
    <row r="292" spans="1:22" ht="15">
      <c r="A292" s="448">
        <v>292</v>
      </c>
      <c r="B292" s="448" t="str">
        <f t="shared" si="4"/>
        <v>Trad292</v>
      </c>
      <c r="C292" s="449" t="s">
        <v>5663</v>
      </c>
      <c r="D292" s="448" t="s">
        <v>5664</v>
      </c>
      <c r="E292" s="448" t="s">
        <v>5665</v>
      </c>
      <c r="F292" s="448" t="s">
        <v>5666</v>
      </c>
      <c r="G292" s="448" t="s">
        <v>5667</v>
      </c>
      <c r="H292" s="448" t="s">
        <v>5668</v>
      </c>
      <c r="I292" s="448" t="s">
        <v>5669</v>
      </c>
      <c r="J292" s="451" t="s">
        <v>5670</v>
      </c>
      <c r="K292" s="461" t="s">
        <v>5671</v>
      </c>
      <c r="L292" s="448" t="s">
        <v>5672</v>
      </c>
      <c r="M292" s="448" t="s">
        <v>5673</v>
      </c>
      <c r="N292" s="448" t="s">
        <v>5674</v>
      </c>
      <c r="O292" s="448" t="s">
        <v>5675</v>
      </c>
      <c r="P292" s="448" t="s">
        <v>5676</v>
      </c>
      <c r="Q292" s="448" t="s">
        <v>5677</v>
      </c>
      <c r="R292" s="453" t="s">
        <v>5673</v>
      </c>
      <c r="S292" s="448" t="s">
        <v>5678</v>
      </c>
      <c r="T292" s="448" t="s">
        <v>5679</v>
      </c>
      <c r="U292" s="448" t="s">
        <v>5680</v>
      </c>
      <c r="V292" s="448" t="s">
        <v>5681</v>
      </c>
    </row>
    <row r="293" spans="1:22" ht="15">
      <c r="A293" s="448">
        <v>293</v>
      </c>
      <c r="B293" s="448" t="str">
        <f t="shared" si="4"/>
        <v>Trad293</v>
      </c>
      <c r="C293" s="449" t="s">
        <v>5682</v>
      </c>
      <c r="D293" s="448" t="s">
        <v>5683</v>
      </c>
      <c r="E293" s="448" t="s">
        <v>5684</v>
      </c>
      <c r="F293" s="448" t="s">
        <v>5685</v>
      </c>
      <c r="G293" s="448" t="s">
        <v>5686</v>
      </c>
      <c r="H293" s="448" t="s">
        <v>5687</v>
      </c>
      <c r="I293" s="448" t="s">
        <v>5688</v>
      </c>
      <c r="J293" s="451" t="s">
        <v>5689</v>
      </c>
      <c r="K293" s="461" t="s">
        <v>5690</v>
      </c>
      <c r="L293" s="448" t="s">
        <v>5691</v>
      </c>
      <c r="M293" s="448" t="s">
        <v>5692</v>
      </c>
      <c r="N293" s="448" t="s">
        <v>5693</v>
      </c>
      <c r="O293" s="448" t="s">
        <v>5694</v>
      </c>
      <c r="P293" s="448" t="s">
        <v>5695</v>
      </c>
      <c r="Q293" s="448" t="s">
        <v>5696</v>
      </c>
      <c r="R293" s="453" t="s">
        <v>5697</v>
      </c>
      <c r="S293" s="448" t="s">
        <v>5698</v>
      </c>
      <c r="T293" s="448" t="s">
        <v>5699</v>
      </c>
      <c r="U293" s="448" t="s">
        <v>5700</v>
      </c>
      <c r="V293" s="448" t="s">
        <v>5701</v>
      </c>
    </row>
    <row r="294" spans="1:22" ht="15">
      <c r="A294" s="448">
        <v>294</v>
      </c>
      <c r="B294" s="448" t="str">
        <f t="shared" si="4"/>
        <v>Trad294</v>
      </c>
      <c r="C294" s="449" t="s">
        <v>5702</v>
      </c>
      <c r="D294" s="448" t="s">
        <v>5703</v>
      </c>
      <c r="E294" s="448" t="s">
        <v>5704</v>
      </c>
      <c r="F294" s="448" t="s">
        <v>5705</v>
      </c>
      <c r="G294" s="448" t="s">
        <v>5706</v>
      </c>
      <c r="H294" s="448" t="s">
        <v>5704</v>
      </c>
      <c r="I294" s="448" t="s">
        <v>5707</v>
      </c>
      <c r="J294" s="451" t="s">
        <v>5708</v>
      </c>
      <c r="K294" s="461" t="s">
        <v>5709</v>
      </c>
      <c r="L294" s="448" t="s">
        <v>5710</v>
      </c>
      <c r="M294" s="448" t="s">
        <v>5711</v>
      </c>
      <c r="N294" s="448" t="s">
        <v>5712</v>
      </c>
      <c r="O294" s="448" t="s">
        <v>5713</v>
      </c>
      <c r="P294" s="448" t="s">
        <v>5714</v>
      </c>
      <c r="Q294" s="448" t="s">
        <v>5715</v>
      </c>
      <c r="R294" s="453" t="s">
        <v>5716</v>
      </c>
      <c r="S294" s="448" t="s">
        <v>5717</v>
      </c>
      <c r="T294" s="448" t="s">
        <v>5718</v>
      </c>
      <c r="U294" s="448" t="s">
        <v>5719</v>
      </c>
      <c r="V294" s="448" t="s">
        <v>5720</v>
      </c>
    </row>
    <row r="295" spans="1:22" ht="15">
      <c r="A295" s="448">
        <v>295</v>
      </c>
      <c r="B295" s="448" t="str">
        <f t="shared" si="4"/>
        <v>Trad295</v>
      </c>
      <c r="C295" s="449" t="s">
        <v>5721</v>
      </c>
      <c r="D295" s="448" t="s">
        <v>5722</v>
      </c>
      <c r="E295" s="448" t="s">
        <v>5723</v>
      </c>
      <c r="F295" s="448" t="s">
        <v>5724</v>
      </c>
      <c r="G295" s="448" t="s">
        <v>5725</v>
      </c>
      <c r="H295" s="448" t="s">
        <v>5726</v>
      </c>
      <c r="I295" s="448" t="s">
        <v>5727</v>
      </c>
      <c r="J295" s="451" t="s">
        <v>5728</v>
      </c>
      <c r="K295" s="461" t="s">
        <v>5729</v>
      </c>
      <c r="L295" s="448" t="s">
        <v>5730</v>
      </c>
      <c r="M295" s="448" t="s">
        <v>5731</v>
      </c>
      <c r="N295" s="448" t="s">
        <v>5732</v>
      </c>
      <c r="O295" s="448" t="s">
        <v>5733</v>
      </c>
      <c r="P295" s="448" t="s">
        <v>5722</v>
      </c>
      <c r="Q295" s="448" t="s">
        <v>5734</v>
      </c>
      <c r="R295" s="453" t="s">
        <v>5735</v>
      </c>
      <c r="S295" s="448" t="s">
        <v>5736</v>
      </c>
      <c r="T295" s="448" t="s">
        <v>5737</v>
      </c>
      <c r="U295" s="448" t="s">
        <v>5738</v>
      </c>
      <c r="V295" s="448" t="s">
        <v>5739</v>
      </c>
    </row>
    <row r="296" spans="1:22" ht="15">
      <c r="A296" s="448">
        <v>296</v>
      </c>
      <c r="B296" s="448" t="str">
        <f t="shared" si="4"/>
        <v>Trad296</v>
      </c>
      <c r="C296" s="449" t="s">
        <v>5740</v>
      </c>
      <c r="D296" s="448" t="s">
        <v>5741</v>
      </c>
      <c r="E296" s="448" t="s">
        <v>5742</v>
      </c>
      <c r="F296" s="448" t="s">
        <v>5743</v>
      </c>
      <c r="G296" s="448" t="s">
        <v>5744</v>
      </c>
      <c r="H296" s="448" t="s">
        <v>5745</v>
      </c>
      <c r="I296" s="448" t="s">
        <v>5746</v>
      </c>
      <c r="J296" s="451" t="s">
        <v>5747</v>
      </c>
      <c r="K296" s="461" t="s">
        <v>5748</v>
      </c>
      <c r="L296" s="448" t="s">
        <v>5749</v>
      </c>
      <c r="M296" s="448" t="s">
        <v>5750</v>
      </c>
      <c r="N296" s="448" t="s">
        <v>5751</v>
      </c>
      <c r="O296" s="448" t="s">
        <v>5752</v>
      </c>
      <c r="P296" s="448" t="s">
        <v>5753</v>
      </c>
      <c r="Q296" s="448" t="s">
        <v>5754</v>
      </c>
      <c r="R296" s="453" t="s">
        <v>5755</v>
      </c>
      <c r="S296" s="448" t="s">
        <v>5756</v>
      </c>
      <c r="T296" s="448" t="s">
        <v>5757</v>
      </c>
      <c r="U296" s="448" t="s">
        <v>5758</v>
      </c>
      <c r="V296" s="448" t="s">
        <v>5759</v>
      </c>
    </row>
    <row r="297" spans="1:22" ht="15">
      <c r="A297" s="448">
        <v>297</v>
      </c>
      <c r="B297" s="448" t="str">
        <f t="shared" si="4"/>
        <v>Trad297</v>
      </c>
      <c r="C297" s="449" t="s">
        <v>5760</v>
      </c>
      <c r="D297" s="448" t="s">
        <v>5761</v>
      </c>
      <c r="E297" s="448" t="s">
        <v>5762</v>
      </c>
      <c r="F297" s="448" t="s">
        <v>5763</v>
      </c>
      <c r="G297" s="448" t="s">
        <v>5764</v>
      </c>
      <c r="H297" s="448" t="s">
        <v>5765</v>
      </c>
      <c r="I297" s="448" t="s">
        <v>5766</v>
      </c>
      <c r="J297" s="451" t="s">
        <v>5767</v>
      </c>
      <c r="K297" s="461" t="s">
        <v>5768</v>
      </c>
      <c r="L297" s="448" t="s">
        <v>5769</v>
      </c>
      <c r="M297" s="448" t="s">
        <v>5770</v>
      </c>
      <c r="N297" s="448" t="s">
        <v>5771</v>
      </c>
      <c r="O297" s="448" t="s">
        <v>5772</v>
      </c>
      <c r="P297" s="448" t="s">
        <v>5773</v>
      </c>
      <c r="Q297" s="448" t="s">
        <v>5774</v>
      </c>
      <c r="R297" s="453" t="s">
        <v>5775</v>
      </c>
      <c r="S297" s="448" t="s">
        <v>5776</v>
      </c>
      <c r="T297" s="448" t="s">
        <v>5777</v>
      </c>
      <c r="U297" s="448" t="s">
        <v>5778</v>
      </c>
      <c r="V297" s="448" t="s">
        <v>5779</v>
      </c>
    </row>
    <row r="298" spans="1:22" ht="15">
      <c r="A298" s="448">
        <v>298</v>
      </c>
      <c r="B298" s="448" t="str">
        <f t="shared" si="4"/>
        <v>Trad298</v>
      </c>
      <c r="C298" s="449" t="s">
        <v>5780</v>
      </c>
      <c r="D298" s="448" t="s">
        <v>5781</v>
      </c>
      <c r="E298" s="448" t="s">
        <v>5782</v>
      </c>
      <c r="F298" s="448" t="s">
        <v>5783</v>
      </c>
      <c r="G298" s="448" t="s">
        <v>5780</v>
      </c>
      <c r="H298" s="448" t="s">
        <v>5784</v>
      </c>
      <c r="I298" s="448" t="s">
        <v>5785</v>
      </c>
      <c r="J298" s="451" t="s">
        <v>5786</v>
      </c>
      <c r="K298" s="461" t="s">
        <v>5787</v>
      </c>
      <c r="L298" s="448" t="s">
        <v>5788</v>
      </c>
      <c r="M298" s="448" t="s">
        <v>5789</v>
      </c>
      <c r="N298" s="448" t="s">
        <v>5790</v>
      </c>
      <c r="O298" s="448" t="s">
        <v>5791</v>
      </c>
      <c r="P298" s="448" t="s">
        <v>5792</v>
      </c>
      <c r="Q298" s="448" t="s">
        <v>5793</v>
      </c>
      <c r="R298" s="453" t="s">
        <v>5794</v>
      </c>
      <c r="S298" s="448" t="s">
        <v>5795</v>
      </c>
      <c r="T298" s="448" t="s">
        <v>5796</v>
      </c>
      <c r="U298" s="448" t="s">
        <v>5797</v>
      </c>
      <c r="V298" s="448" t="s">
        <v>5798</v>
      </c>
    </row>
    <row r="299" spans="1:22" ht="15">
      <c r="A299" s="448">
        <v>299</v>
      </c>
      <c r="B299" s="448" t="str">
        <f t="shared" si="4"/>
        <v>Trad299</v>
      </c>
      <c r="C299" s="449" t="s">
        <v>5799</v>
      </c>
      <c r="D299" s="448" t="s">
        <v>5800</v>
      </c>
      <c r="E299" s="448" t="s">
        <v>5801</v>
      </c>
      <c r="F299" s="448" t="s">
        <v>5802</v>
      </c>
      <c r="G299" s="448" t="s">
        <v>5803</v>
      </c>
      <c r="H299" s="448" t="s">
        <v>5804</v>
      </c>
      <c r="I299" s="448" t="s">
        <v>5805</v>
      </c>
      <c r="J299" s="451" t="s">
        <v>5806</v>
      </c>
      <c r="K299" s="461" t="s">
        <v>5807</v>
      </c>
      <c r="L299" s="448" t="s">
        <v>5808</v>
      </c>
      <c r="M299" s="448" t="s">
        <v>5809</v>
      </c>
      <c r="N299" s="448" t="s">
        <v>5810</v>
      </c>
      <c r="O299" s="448" t="s">
        <v>5811</v>
      </c>
      <c r="P299" s="448" t="s">
        <v>5800</v>
      </c>
      <c r="Q299" s="448" t="s">
        <v>5812</v>
      </c>
      <c r="R299" s="453" t="s">
        <v>5809</v>
      </c>
      <c r="S299" s="448" t="s">
        <v>5813</v>
      </c>
      <c r="T299" s="448" t="s">
        <v>5814</v>
      </c>
      <c r="U299" s="448" t="s">
        <v>5815</v>
      </c>
      <c r="V299" s="448" t="s">
        <v>5816</v>
      </c>
    </row>
    <row r="300" spans="1:22" ht="15">
      <c r="A300" s="448">
        <v>300</v>
      </c>
      <c r="B300" s="448" t="str">
        <f t="shared" si="4"/>
        <v>Trad300</v>
      </c>
      <c r="C300" s="449" t="s">
        <v>5817</v>
      </c>
      <c r="D300" s="448" t="s">
        <v>5818</v>
      </c>
      <c r="E300" s="448" t="s">
        <v>5819</v>
      </c>
      <c r="F300" s="448" t="s">
        <v>5820</v>
      </c>
      <c r="G300" s="448" t="s">
        <v>5821</v>
      </c>
      <c r="H300" s="448" t="s">
        <v>5822</v>
      </c>
      <c r="I300" s="448" t="s">
        <v>5823</v>
      </c>
      <c r="J300" s="451" t="s">
        <v>5824</v>
      </c>
      <c r="K300" s="461" t="s">
        <v>5825</v>
      </c>
      <c r="L300" s="448" t="s">
        <v>5826</v>
      </c>
      <c r="M300" s="448" t="s">
        <v>5827</v>
      </c>
      <c r="N300" s="448" t="s">
        <v>5828</v>
      </c>
      <c r="O300" s="448" t="s">
        <v>5829</v>
      </c>
      <c r="P300" s="448" t="s">
        <v>5830</v>
      </c>
      <c r="Q300" s="448" t="s">
        <v>5831</v>
      </c>
      <c r="R300" s="453" t="s">
        <v>5832</v>
      </c>
      <c r="S300" s="448" t="s">
        <v>5833</v>
      </c>
      <c r="T300" s="448" t="s">
        <v>5834</v>
      </c>
      <c r="U300" s="448" t="s">
        <v>5835</v>
      </c>
      <c r="V300" s="448" t="s">
        <v>5836</v>
      </c>
    </row>
    <row r="301" spans="1:22" ht="15">
      <c r="A301" s="448">
        <v>301</v>
      </c>
      <c r="B301" s="448" t="str">
        <f t="shared" si="4"/>
        <v>Trad301</v>
      </c>
      <c r="C301" s="449" t="s">
        <v>5837</v>
      </c>
      <c r="D301" s="448" t="s">
        <v>5838</v>
      </c>
      <c r="E301" s="448" t="s">
        <v>5839</v>
      </c>
      <c r="F301" s="448" t="s">
        <v>5840</v>
      </c>
      <c r="G301" s="448" t="s">
        <v>5841</v>
      </c>
      <c r="H301" s="448" t="s">
        <v>5842</v>
      </c>
      <c r="I301" s="448" t="s">
        <v>5843</v>
      </c>
      <c r="J301" s="451" t="s">
        <v>5844</v>
      </c>
      <c r="K301" s="461" t="s">
        <v>5845</v>
      </c>
      <c r="L301" s="448" t="s">
        <v>5846</v>
      </c>
      <c r="M301" s="448" t="s">
        <v>5847</v>
      </c>
      <c r="N301" s="448" t="s">
        <v>5848</v>
      </c>
      <c r="O301" s="448" t="s">
        <v>5849</v>
      </c>
      <c r="P301" s="448" t="s">
        <v>5838</v>
      </c>
      <c r="Q301" s="448" t="s">
        <v>5850</v>
      </c>
      <c r="R301" s="453" t="s">
        <v>5851</v>
      </c>
      <c r="S301" s="448" t="s">
        <v>5852</v>
      </c>
      <c r="T301" s="448" t="s">
        <v>5853</v>
      </c>
      <c r="U301" s="448" t="s">
        <v>5854</v>
      </c>
      <c r="V301" s="448" t="s">
        <v>5855</v>
      </c>
    </row>
    <row r="302" spans="1:22" ht="15">
      <c r="A302" s="448">
        <v>302</v>
      </c>
      <c r="B302" s="448" t="str">
        <f t="shared" si="4"/>
        <v>Trad302</v>
      </c>
      <c r="C302" s="449" t="s">
        <v>5856</v>
      </c>
      <c r="D302" s="448" t="s">
        <v>5857</v>
      </c>
      <c r="E302" s="448" t="s">
        <v>5858</v>
      </c>
      <c r="F302" s="448" t="s">
        <v>5859</v>
      </c>
      <c r="G302" s="448" t="s">
        <v>5860</v>
      </c>
      <c r="H302" s="448" t="s">
        <v>5861</v>
      </c>
      <c r="I302" s="448" t="s">
        <v>5862</v>
      </c>
      <c r="J302" s="451" t="s">
        <v>5863</v>
      </c>
      <c r="K302" s="461" t="s">
        <v>5864</v>
      </c>
      <c r="L302" s="448" t="s">
        <v>5865</v>
      </c>
      <c r="M302" s="448" t="s">
        <v>5866</v>
      </c>
      <c r="N302" s="448" t="s">
        <v>5867</v>
      </c>
      <c r="O302" s="448" t="s">
        <v>5868</v>
      </c>
      <c r="P302" s="448" t="s">
        <v>5869</v>
      </c>
      <c r="Q302" s="448" t="s">
        <v>5870</v>
      </c>
      <c r="R302" s="453" t="s">
        <v>5871</v>
      </c>
      <c r="S302" s="448" t="s">
        <v>5872</v>
      </c>
      <c r="T302" s="448" t="s">
        <v>5873</v>
      </c>
      <c r="U302" s="448" t="s">
        <v>5874</v>
      </c>
      <c r="V302" s="448" t="s">
        <v>5875</v>
      </c>
    </row>
    <row r="303" spans="1:22" ht="15">
      <c r="A303" s="448">
        <v>303</v>
      </c>
      <c r="B303" s="448" t="str">
        <f t="shared" si="4"/>
        <v>Trad303</v>
      </c>
      <c r="C303" s="449" t="s">
        <v>5876</v>
      </c>
      <c r="D303" s="448" t="s">
        <v>5877</v>
      </c>
      <c r="E303" s="448" t="s">
        <v>5878</v>
      </c>
      <c r="F303" s="448" t="s">
        <v>5879</v>
      </c>
      <c r="G303" s="448" t="s">
        <v>5880</v>
      </c>
      <c r="H303" s="448" t="s">
        <v>5878</v>
      </c>
      <c r="I303" s="448" t="s">
        <v>5881</v>
      </c>
      <c r="J303" s="451" t="s">
        <v>5882</v>
      </c>
      <c r="K303" s="461" t="s">
        <v>5883</v>
      </c>
      <c r="L303" s="448" t="s">
        <v>5884</v>
      </c>
      <c r="M303" s="448" t="s">
        <v>5882</v>
      </c>
      <c r="N303" s="448" t="s">
        <v>5882</v>
      </c>
      <c r="O303" s="448" t="s">
        <v>5885</v>
      </c>
      <c r="P303" s="448" t="s">
        <v>5877</v>
      </c>
      <c r="Q303" s="448" t="s">
        <v>5882</v>
      </c>
      <c r="R303" s="453" t="s">
        <v>5882</v>
      </c>
      <c r="S303" s="448" t="s">
        <v>5882</v>
      </c>
      <c r="T303" s="448" t="s">
        <v>5886</v>
      </c>
      <c r="U303" s="448" t="s">
        <v>5887</v>
      </c>
      <c r="V303" s="448" t="s">
        <v>5888</v>
      </c>
    </row>
    <row r="304" spans="1:22" ht="15">
      <c r="A304" s="448">
        <v>304</v>
      </c>
      <c r="B304" s="448" t="str">
        <f t="shared" si="4"/>
        <v>Trad304</v>
      </c>
      <c r="C304" s="449" t="s">
        <v>5889</v>
      </c>
      <c r="D304" s="448" t="s">
        <v>5890</v>
      </c>
      <c r="E304" s="448" t="s">
        <v>5891</v>
      </c>
      <c r="F304" s="448" t="s">
        <v>5892</v>
      </c>
      <c r="G304" s="448" t="s">
        <v>5893</v>
      </c>
      <c r="H304" s="448" t="s">
        <v>5894</v>
      </c>
      <c r="I304" s="448" t="s">
        <v>5895</v>
      </c>
      <c r="J304" s="451" t="s">
        <v>5896</v>
      </c>
      <c r="K304" s="461" t="s">
        <v>5897</v>
      </c>
      <c r="L304" s="448" t="s">
        <v>5898</v>
      </c>
      <c r="M304" s="448" t="s">
        <v>5899</v>
      </c>
      <c r="N304" s="448" t="s">
        <v>5900</v>
      </c>
      <c r="O304" s="448" t="s">
        <v>5901</v>
      </c>
      <c r="P304" s="448" t="s">
        <v>5902</v>
      </c>
      <c r="Q304" s="448" t="s">
        <v>5903</v>
      </c>
      <c r="R304" s="453" t="s">
        <v>5904</v>
      </c>
      <c r="S304" s="448" t="s">
        <v>5905</v>
      </c>
      <c r="T304" s="448" t="s">
        <v>5906</v>
      </c>
      <c r="U304" s="448" t="s">
        <v>5907</v>
      </c>
      <c r="V304" s="448" t="s">
        <v>5908</v>
      </c>
    </row>
    <row r="305" spans="1:22" ht="15">
      <c r="A305" s="448">
        <v>305</v>
      </c>
      <c r="B305" s="448" t="str">
        <f t="shared" si="4"/>
        <v>Trad305</v>
      </c>
      <c r="C305" s="449" t="s">
        <v>5909</v>
      </c>
      <c r="D305" s="448" t="s">
        <v>5910</v>
      </c>
      <c r="E305" s="448" t="s">
        <v>5911</v>
      </c>
      <c r="F305" s="448" t="s">
        <v>5912</v>
      </c>
      <c r="G305" s="448" t="s">
        <v>5913</v>
      </c>
      <c r="H305" s="448" t="s">
        <v>5914</v>
      </c>
      <c r="I305" s="448" t="s">
        <v>5915</v>
      </c>
      <c r="J305" s="451" t="s">
        <v>5916</v>
      </c>
      <c r="K305" s="461" t="s">
        <v>5917</v>
      </c>
      <c r="L305" s="448" t="s">
        <v>5918</v>
      </c>
      <c r="M305" s="448" t="s">
        <v>5919</v>
      </c>
      <c r="N305" s="448" t="s">
        <v>5920</v>
      </c>
      <c r="O305" s="448" t="s">
        <v>5921</v>
      </c>
      <c r="P305" s="448" t="s">
        <v>5922</v>
      </c>
      <c r="Q305" s="448" t="s">
        <v>5923</v>
      </c>
      <c r="R305" s="453" t="s">
        <v>5924</v>
      </c>
      <c r="S305" s="448" t="s">
        <v>5925</v>
      </c>
      <c r="T305" s="448" t="s">
        <v>5926</v>
      </c>
      <c r="U305" s="448" t="s">
        <v>5927</v>
      </c>
      <c r="V305" s="448" t="s">
        <v>5928</v>
      </c>
    </row>
    <row r="306" spans="1:22" ht="15">
      <c r="A306" s="448">
        <v>306</v>
      </c>
      <c r="B306" s="448" t="str">
        <f t="shared" si="4"/>
        <v>Trad306</v>
      </c>
      <c r="C306" s="449" t="s">
        <v>5929</v>
      </c>
      <c r="D306" s="448" t="s">
        <v>5930</v>
      </c>
      <c r="E306" s="448" t="s">
        <v>5931</v>
      </c>
      <c r="F306" s="448" t="s">
        <v>5932</v>
      </c>
      <c r="G306" s="448" t="s">
        <v>5933</v>
      </c>
      <c r="H306" s="448" t="s">
        <v>5934</v>
      </c>
      <c r="I306" s="448" t="s">
        <v>5935</v>
      </c>
      <c r="J306" s="451" t="s">
        <v>5936</v>
      </c>
      <c r="K306" s="461" t="s">
        <v>5937</v>
      </c>
      <c r="L306" s="448" t="s">
        <v>5938</v>
      </c>
      <c r="M306" s="448" t="s">
        <v>5939</v>
      </c>
      <c r="N306" s="448" t="s">
        <v>5940</v>
      </c>
      <c r="O306" s="448" t="s">
        <v>5941</v>
      </c>
      <c r="P306" s="448" t="s">
        <v>5942</v>
      </c>
      <c r="Q306" s="448" t="s">
        <v>5943</v>
      </c>
      <c r="R306" s="453" t="s">
        <v>5944</v>
      </c>
      <c r="S306" s="448" t="s">
        <v>5945</v>
      </c>
      <c r="T306" s="448" t="s">
        <v>5946</v>
      </c>
      <c r="U306" s="448" t="s">
        <v>5947</v>
      </c>
      <c r="V306" s="448" t="s">
        <v>5948</v>
      </c>
    </row>
    <row r="307" spans="1:22" ht="15">
      <c r="A307" s="448">
        <v>307</v>
      </c>
      <c r="B307" s="448" t="str">
        <f t="shared" si="4"/>
        <v>Trad307</v>
      </c>
      <c r="C307" s="449" t="s">
        <v>5949</v>
      </c>
      <c r="D307" s="448" t="s">
        <v>5950</v>
      </c>
      <c r="E307" s="448" t="s">
        <v>5951</v>
      </c>
      <c r="F307" s="448" t="s">
        <v>5952</v>
      </c>
      <c r="G307" s="448" t="s">
        <v>5953</v>
      </c>
      <c r="H307" s="448" t="s">
        <v>5954</v>
      </c>
      <c r="I307" s="448" t="s">
        <v>5955</v>
      </c>
      <c r="J307" s="451" t="s">
        <v>5956</v>
      </c>
      <c r="K307" s="461" t="s">
        <v>5957</v>
      </c>
      <c r="L307" s="448" t="s">
        <v>5958</v>
      </c>
      <c r="M307" s="448" t="s">
        <v>5959</v>
      </c>
      <c r="N307" s="448" t="s">
        <v>5960</v>
      </c>
      <c r="O307" s="448" t="s">
        <v>5961</v>
      </c>
      <c r="P307" s="448" t="s">
        <v>5962</v>
      </c>
      <c r="Q307" s="448" t="s">
        <v>5963</v>
      </c>
      <c r="R307" s="453" t="s">
        <v>5964</v>
      </c>
      <c r="S307" s="448" t="s">
        <v>5965</v>
      </c>
      <c r="T307" s="448" t="s">
        <v>5966</v>
      </c>
      <c r="U307" s="448" t="s">
        <v>5967</v>
      </c>
      <c r="V307" s="448" t="s">
        <v>5968</v>
      </c>
    </row>
    <row r="308" spans="1:22" ht="15">
      <c r="A308" s="448">
        <v>308</v>
      </c>
      <c r="B308" s="448" t="str">
        <f t="shared" si="4"/>
        <v>Trad308</v>
      </c>
      <c r="C308" s="449" t="s">
        <v>5969</v>
      </c>
      <c r="D308" s="448" t="s">
        <v>5970</v>
      </c>
      <c r="E308" s="448" t="s">
        <v>5971</v>
      </c>
      <c r="F308" s="448" t="s">
        <v>5972</v>
      </c>
      <c r="G308" s="448" t="s">
        <v>5973</v>
      </c>
      <c r="H308" s="448" t="s">
        <v>5974</v>
      </c>
      <c r="I308" s="448" t="s">
        <v>5975</v>
      </c>
      <c r="J308" s="451" t="s">
        <v>5976</v>
      </c>
      <c r="K308" s="461" t="s">
        <v>5977</v>
      </c>
      <c r="L308" s="448" t="s">
        <v>5978</v>
      </c>
      <c r="M308" s="448" t="s">
        <v>5979</v>
      </c>
      <c r="N308" s="448" t="s">
        <v>5980</v>
      </c>
      <c r="O308" s="448" t="s">
        <v>5981</v>
      </c>
      <c r="P308" s="448" t="s">
        <v>5982</v>
      </c>
      <c r="Q308" s="448" t="s">
        <v>5983</v>
      </c>
      <c r="R308" s="453" t="s">
        <v>5984</v>
      </c>
      <c r="S308" s="448" t="s">
        <v>5985</v>
      </c>
      <c r="T308" s="448" t="s">
        <v>5986</v>
      </c>
      <c r="U308" s="448" t="s">
        <v>5987</v>
      </c>
      <c r="V308" s="448" t="s">
        <v>5988</v>
      </c>
    </row>
    <row r="309" spans="1:22" ht="15">
      <c r="A309" s="448">
        <v>309</v>
      </c>
      <c r="B309" s="448" t="str">
        <f t="shared" si="4"/>
        <v>Trad309</v>
      </c>
      <c r="C309" s="449" t="s">
        <v>5989</v>
      </c>
      <c r="D309" s="448" t="s">
        <v>5990</v>
      </c>
      <c r="E309" s="448" t="s">
        <v>5991</v>
      </c>
      <c r="F309" s="448" t="s">
        <v>5992</v>
      </c>
      <c r="G309" s="448" t="s">
        <v>5993</v>
      </c>
      <c r="H309" s="448" t="s">
        <v>5994</v>
      </c>
      <c r="I309" s="448" t="s">
        <v>5995</v>
      </c>
      <c r="J309" s="451" t="s">
        <v>5996</v>
      </c>
      <c r="K309" s="461" t="s">
        <v>5997</v>
      </c>
      <c r="L309" s="448" t="s">
        <v>5998</v>
      </c>
      <c r="M309" s="448" t="s">
        <v>5999</v>
      </c>
      <c r="N309" s="448" t="s">
        <v>6000</v>
      </c>
      <c r="O309" s="448" t="s">
        <v>6001</v>
      </c>
      <c r="P309" s="448" t="s">
        <v>6002</v>
      </c>
      <c r="Q309" s="448" t="s">
        <v>6003</v>
      </c>
      <c r="R309" s="453" t="s">
        <v>6004</v>
      </c>
      <c r="S309" s="448" t="s">
        <v>6005</v>
      </c>
      <c r="T309" s="448" t="s">
        <v>6006</v>
      </c>
      <c r="U309" s="448" t="s">
        <v>6007</v>
      </c>
      <c r="V309" s="448" t="s">
        <v>6008</v>
      </c>
    </row>
    <row r="310" spans="1:22" ht="15">
      <c r="A310" s="448">
        <v>310</v>
      </c>
      <c r="B310" s="448" t="str">
        <f t="shared" si="4"/>
        <v>Trad310</v>
      </c>
      <c r="C310" s="449" t="s">
        <v>6009</v>
      </c>
      <c r="D310" s="448" t="s">
        <v>6010</v>
      </c>
      <c r="E310" s="448" t="s">
        <v>6011</v>
      </c>
      <c r="F310" s="448" t="s">
        <v>6012</v>
      </c>
      <c r="G310" s="448" t="s">
        <v>6013</v>
      </c>
      <c r="H310" s="448" t="s">
        <v>6014</v>
      </c>
      <c r="I310" s="448" t="s">
        <v>6015</v>
      </c>
      <c r="J310" s="451" t="s">
        <v>6016</v>
      </c>
      <c r="K310" s="461" t="s">
        <v>6017</v>
      </c>
      <c r="L310" s="448" t="s">
        <v>6018</v>
      </c>
      <c r="M310" s="448" t="s">
        <v>6019</v>
      </c>
      <c r="N310" s="448" t="s">
        <v>6020</v>
      </c>
      <c r="O310" s="448" t="s">
        <v>6021</v>
      </c>
      <c r="P310" s="448" t="s">
        <v>6022</v>
      </c>
      <c r="Q310" s="448" t="s">
        <v>6023</v>
      </c>
      <c r="R310" s="453" t="s">
        <v>6024</v>
      </c>
      <c r="S310" s="448" t="s">
        <v>6025</v>
      </c>
      <c r="T310" s="448" t="s">
        <v>6026</v>
      </c>
      <c r="U310" s="448" t="s">
        <v>6027</v>
      </c>
      <c r="V310" s="448" t="s">
        <v>6028</v>
      </c>
    </row>
    <row r="311" spans="1:22" ht="15">
      <c r="A311" s="448">
        <v>311</v>
      </c>
      <c r="B311" s="448" t="str">
        <f t="shared" si="4"/>
        <v>Trad311</v>
      </c>
      <c r="C311" s="449" t="s">
        <v>6029</v>
      </c>
      <c r="D311" s="448" t="s">
        <v>6030</v>
      </c>
      <c r="E311" s="448" t="s">
        <v>6031</v>
      </c>
      <c r="F311" s="448" t="s">
        <v>6032</v>
      </c>
      <c r="G311" s="448" t="s">
        <v>6033</v>
      </c>
      <c r="H311" s="448" t="s">
        <v>6034</v>
      </c>
      <c r="I311" s="448" t="s">
        <v>6035</v>
      </c>
      <c r="J311" s="451" t="s">
        <v>6036</v>
      </c>
      <c r="K311" s="461" t="s">
        <v>6037</v>
      </c>
      <c r="L311" s="448" t="s">
        <v>6038</v>
      </c>
      <c r="M311" s="448" t="s">
        <v>6039</v>
      </c>
      <c r="N311" s="448" t="s">
        <v>6040</v>
      </c>
      <c r="O311" s="448" t="s">
        <v>6041</v>
      </c>
      <c r="P311" s="448" t="s">
        <v>6042</v>
      </c>
      <c r="Q311" s="448" t="s">
        <v>6043</v>
      </c>
      <c r="R311" s="453" t="s">
        <v>6044</v>
      </c>
      <c r="S311" s="448" t="s">
        <v>6045</v>
      </c>
      <c r="T311" s="448" t="s">
        <v>6046</v>
      </c>
      <c r="U311" s="448" t="s">
        <v>6047</v>
      </c>
      <c r="V311" s="448" t="s">
        <v>6048</v>
      </c>
    </row>
    <row r="312" spans="1:22" ht="15">
      <c r="A312" s="448">
        <v>312</v>
      </c>
      <c r="B312" s="448" t="str">
        <f t="shared" si="4"/>
        <v>Trad312</v>
      </c>
      <c r="C312" s="449" t="s">
        <v>6049</v>
      </c>
      <c r="D312" s="448" t="s">
        <v>6050</v>
      </c>
      <c r="E312" s="448" t="s">
        <v>6051</v>
      </c>
      <c r="F312" s="448" t="s">
        <v>6052</v>
      </c>
      <c r="G312" s="448" t="s">
        <v>6053</v>
      </c>
      <c r="H312" s="448" t="s">
        <v>6054</v>
      </c>
      <c r="I312" s="448" t="s">
        <v>6055</v>
      </c>
      <c r="J312" s="451" t="s">
        <v>6056</v>
      </c>
      <c r="K312" s="461" t="s">
        <v>6057</v>
      </c>
      <c r="L312" s="448" t="s">
        <v>6058</v>
      </c>
      <c r="M312" s="448" t="s">
        <v>6059</v>
      </c>
      <c r="N312" s="448" t="s">
        <v>6060</v>
      </c>
      <c r="O312" s="448" t="s">
        <v>6061</v>
      </c>
      <c r="P312" s="448" t="s">
        <v>6062</v>
      </c>
      <c r="Q312" s="448" t="s">
        <v>6063</v>
      </c>
      <c r="R312" s="453" t="s">
        <v>6064</v>
      </c>
      <c r="S312" s="448" t="s">
        <v>6065</v>
      </c>
      <c r="T312" s="448" t="s">
        <v>6066</v>
      </c>
      <c r="U312" s="448" t="s">
        <v>6067</v>
      </c>
      <c r="V312" s="448" t="s">
        <v>6068</v>
      </c>
    </row>
    <row r="313" spans="1:22" ht="15">
      <c r="A313" s="448">
        <v>313</v>
      </c>
      <c r="B313" s="448" t="str">
        <f t="shared" si="4"/>
        <v>Trad313</v>
      </c>
      <c r="C313" s="449" t="s">
        <v>6069</v>
      </c>
      <c r="D313" s="448" t="s">
        <v>6070</v>
      </c>
      <c r="E313" s="448" t="s">
        <v>6071</v>
      </c>
      <c r="F313" s="448" t="s">
        <v>6072</v>
      </c>
      <c r="G313" s="448" t="s">
        <v>6073</v>
      </c>
      <c r="H313" s="448" t="s">
        <v>6074</v>
      </c>
      <c r="I313" s="448" t="s">
        <v>6075</v>
      </c>
      <c r="J313" s="451" t="s">
        <v>6076</v>
      </c>
      <c r="K313" s="461" t="s">
        <v>6077</v>
      </c>
      <c r="L313" s="448" t="s">
        <v>6078</v>
      </c>
      <c r="M313" s="448" t="s">
        <v>6079</v>
      </c>
      <c r="N313" s="448" t="s">
        <v>6080</v>
      </c>
      <c r="O313" s="448" t="s">
        <v>6081</v>
      </c>
      <c r="P313" s="448" t="s">
        <v>6082</v>
      </c>
      <c r="Q313" s="448" t="s">
        <v>6083</v>
      </c>
      <c r="R313" s="453" t="s">
        <v>6084</v>
      </c>
      <c r="S313" s="448" t="s">
        <v>6085</v>
      </c>
      <c r="T313" s="448" t="s">
        <v>6086</v>
      </c>
      <c r="U313" s="448" t="s">
        <v>6087</v>
      </c>
      <c r="V313" s="448" t="s">
        <v>6088</v>
      </c>
    </row>
    <row r="314" spans="1:22" ht="15">
      <c r="A314" s="448">
        <v>314</v>
      </c>
      <c r="B314" s="448" t="str">
        <f t="shared" si="4"/>
        <v>Trad314</v>
      </c>
      <c r="C314" s="449" t="s">
        <v>6089</v>
      </c>
      <c r="D314" s="448" t="s">
        <v>6090</v>
      </c>
      <c r="E314" s="448" t="s">
        <v>6091</v>
      </c>
      <c r="F314" s="448" t="s">
        <v>6092</v>
      </c>
      <c r="G314" s="448" t="s">
        <v>6093</v>
      </c>
      <c r="H314" s="448" t="s">
        <v>6094</v>
      </c>
      <c r="I314" s="448" t="s">
        <v>6095</v>
      </c>
      <c r="J314" s="451" t="s">
        <v>6096</v>
      </c>
      <c r="K314" s="461" t="s">
        <v>6097</v>
      </c>
      <c r="L314" s="448" t="s">
        <v>6098</v>
      </c>
      <c r="M314" s="448" t="s">
        <v>6099</v>
      </c>
      <c r="N314" s="448" t="s">
        <v>6100</v>
      </c>
      <c r="O314" s="448" t="s">
        <v>6101</v>
      </c>
      <c r="P314" s="448" t="s">
        <v>6102</v>
      </c>
      <c r="Q314" s="448" t="s">
        <v>6103</v>
      </c>
      <c r="R314" s="453" t="s">
        <v>6104</v>
      </c>
      <c r="S314" s="448" t="s">
        <v>6105</v>
      </c>
      <c r="T314" s="448" t="s">
        <v>6106</v>
      </c>
      <c r="U314" s="448" t="s">
        <v>6107</v>
      </c>
      <c r="V314" s="448" t="s">
        <v>6108</v>
      </c>
    </row>
    <row r="315" spans="1:22" ht="15">
      <c r="A315" s="448">
        <v>315</v>
      </c>
      <c r="B315" s="448" t="str">
        <f t="shared" si="4"/>
        <v>Trad315</v>
      </c>
      <c r="C315" s="449" t="s">
        <v>6109</v>
      </c>
      <c r="D315" s="448" t="s">
        <v>6110</v>
      </c>
      <c r="E315" s="448" t="s">
        <v>6111</v>
      </c>
      <c r="F315" s="448" t="s">
        <v>6112</v>
      </c>
      <c r="G315" s="448" t="s">
        <v>6113</v>
      </c>
      <c r="H315" s="448" t="s">
        <v>6114</v>
      </c>
      <c r="I315" s="448" t="s">
        <v>6115</v>
      </c>
      <c r="J315" s="451" t="s">
        <v>6116</v>
      </c>
      <c r="K315" s="461" t="s">
        <v>6117</v>
      </c>
      <c r="L315" s="448" t="s">
        <v>6118</v>
      </c>
      <c r="M315" s="448" t="s">
        <v>6119</v>
      </c>
      <c r="N315" s="448" t="s">
        <v>6120</v>
      </c>
      <c r="O315" s="448" t="s">
        <v>6121</v>
      </c>
      <c r="P315" s="448" t="s">
        <v>6110</v>
      </c>
      <c r="Q315" s="448" t="s">
        <v>6122</v>
      </c>
      <c r="R315" s="453" t="s">
        <v>6123</v>
      </c>
      <c r="S315" s="448" t="s">
        <v>6124</v>
      </c>
      <c r="T315" s="448" t="s">
        <v>6125</v>
      </c>
      <c r="U315" s="448" t="s">
        <v>6126</v>
      </c>
      <c r="V315" s="448" t="s">
        <v>6127</v>
      </c>
    </row>
    <row r="316" spans="1:22" ht="15">
      <c r="A316" s="448">
        <v>316</v>
      </c>
      <c r="B316" s="448" t="str">
        <f t="shared" si="4"/>
        <v>Trad316</v>
      </c>
      <c r="C316" s="449" t="s">
        <v>6128</v>
      </c>
      <c r="D316" s="448" t="s">
        <v>6129</v>
      </c>
      <c r="E316" s="448" t="s">
        <v>6130</v>
      </c>
      <c r="F316" s="448" t="s">
        <v>6131</v>
      </c>
      <c r="G316" s="448" t="s">
        <v>6132</v>
      </c>
      <c r="H316" s="448" t="s">
        <v>6133</v>
      </c>
      <c r="I316" s="448" t="s">
        <v>6134</v>
      </c>
      <c r="J316" s="451" t="s">
        <v>6135</v>
      </c>
      <c r="K316" s="461" t="s">
        <v>6136</v>
      </c>
      <c r="L316" s="448" t="s">
        <v>6137</v>
      </c>
      <c r="M316" s="448" t="s">
        <v>6138</v>
      </c>
      <c r="N316" s="448" t="s">
        <v>6139</v>
      </c>
      <c r="O316" s="448" t="s">
        <v>6140</v>
      </c>
      <c r="P316" s="448" t="s">
        <v>6141</v>
      </c>
      <c r="Q316" s="448" t="s">
        <v>6142</v>
      </c>
      <c r="R316" s="453" t="s">
        <v>6143</v>
      </c>
      <c r="S316" s="448" t="s">
        <v>6144</v>
      </c>
      <c r="T316" s="448" t="s">
        <v>6145</v>
      </c>
      <c r="U316" s="448" t="s">
        <v>6146</v>
      </c>
      <c r="V316" s="448" t="s">
        <v>6147</v>
      </c>
    </row>
    <row r="317" spans="1:22">
      <c r="A317" s="448">
        <v>317</v>
      </c>
      <c r="B317" s="448" t="str">
        <f t="shared" si="4"/>
        <v>Trad317</v>
      </c>
      <c r="C317" s="449" t="s">
        <v>6148</v>
      </c>
      <c r="D317" s="448" t="s">
        <v>6149</v>
      </c>
      <c r="E317" s="448" t="s">
        <v>6150</v>
      </c>
      <c r="F317" s="448" t="s">
        <v>6151</v>
      </c>
      <c r="G317" s="448" t="s">
        <v>6152</v>
      </c>
      <c r="H317" s="448" t="s">
        <v>6153</v>
      </c>
      <c r="I317" s="448" t="s">
        <v>6154</v>
      </c>
      <c r="J317" s="451" t="s">
        <v>6155</v>
      </c>
      <c r="K317" s="448" t="s">
        <v>6156</v>
      </c>
      <c r="L317" s="448" t="s">
        <v>6157</v>
      </c>
      <c r="M317" s="448" t="s">
        <v>6158</v>
      </c>
      <c r="N317" s="448" t="s">
        <v>6159</v>
      </c>
      <c r="O317" s="448" t="s">
        <v>6160</v>
      </c>
      <c r="P317" s="448" t="s">
        <v>6161</v>
      </c>
      <c r="Q317" s="448" t="s">
        <v>6162</v>
      </c>
      <c r="R317" s="448" t="s">
        <v>6163</v>
      </c>
      <c r="S317" s="448" t="s">
        <v>6164</v>
      </c>
      <c r="T317" s="448" t="s">
        <v>6165</v>
      </c>
      <c r="U317" s="448" t="s">
        <v>6166</v>
      </c>
      <c r="V317" s="448" t="s">
        <v>6167</v>
      </c>
    </row>
    <row r="318" spans="1:22">
      <c r="A318" s="448">
        <v>318</v>
      </c>
      <c r="B318" s="448" t="str">
        <f t="shared" si="4"/>
        <v>Trad318</v>
      </c>
      <c r="C318" s="449" t="s">
        <v>6168</v>
      </c>
      <c r="D318" s="448" t="s">
        <v>6169</v>
      </c>
      <c r="E318" s="448" t="s">
        <v>6170</v>
      </c>
      <c r="F318" s="448" t="s">
        <v>6171</v>
      </c>
      <c r="G318" s="448" t="s">
        <v>6172</v>
      </c>
      <c r="H318" s="448" t="s">
        <v>6173</v>
      </c>
      <c r="I318" s="448" t="s">
        <v>6174</v>
      </c>
      <c r="J318" s="451" t="s">
        <v>6168</v>
      </c>
      <c r="K318" s="448" t="s">
        <v>6175</v>
      </c>
      <c r="L318" s="448" t="s">
        <v>6176</v>
      </c>
      <c r="M318" s="448" t="s">
        <v>6177</v>
      </c>
      <c r="N318" s="448" t="s">
        <v>6178</v>
      </c>
      <c r="O318" s="448" t="s">
        <v>6179</v>
      </c>
      <c r="P318" s="448" t="s">
        <v>6180</v>
      </c>
      <c r="Q318" s="448" t="s">
        <v>6181</v>
      </c>
      <c r="R318" s="448" t="s">
        <v>6182</v>
      </c>
      <c r="S318" s="448" t="s">
        <v>6183</v>
      </c>
      <c r="T318" s="448" t="s">
        <v>6184</v>
      </c>
      <c r="U318" s="448" t="s">
        <v>6185</v>
      </c>
      <c r="V318" s="448" t="s">
        <v>6168</v>
      </c>
    </row>
    <row r="319" spans="1:22">
      <c r="A319" s="448">
        <v>319</v>
      </c>
      <c r="B319" s="448" t="str">
        <f t="shared" si="4"/>
        <v>Trad319</v>
      </c>
      <c r="C319" s="449" t="s">
        <v>6186</v>
      </c>
      <c r="D319" s="448" t="s">
        <v>6187</v>
      </c>
      <c r="E319" s="448" t="s">
        <v>6188</v>
      </c>
      <c r="F319" s="448" t="s">
        <v>6189</v>
      </c>
      <c r="G319" s="448" t="s">
        <v>6190</v>
      </c>
      <c r="H319" s="448" t="s">
        <v>6191</v>
      </c>
      <c r="I319" s="448" t="s">
        <v>6192</v>
      </c>
      <c r="J319" s="451" t="s">
        <v>6193</v>
      </c>
      <c r="K319" s="448" t="s">
        <v>6194</v>
      </c>
      <c r="L319" s="448" t="s">
        <v>6195</v>
      </c>
      <c r="M319" s="448" t="s">
        <v>6196</v>
      </c>
      <c r="N319" s="448" t="s">
        <v>6197</v>
      </c>
      <c r="O319" s="448" t="s">
        <v>6198</v>
      </c>
      <c r="P319" s="448" t="s">
        <v>6199</v>
      </c>
      <c r="Q319" s="448" t="s">
        <v>6200</v>
      </c>
      <c r="R319" s="448" t="s">
        <v>6201</v>
      </c>
      <c r="S319" s="448" t="s">
        <v>6202</v>
      </c>
      <c r="T319" s="448" t="s">
        <v>6203</v>
      </c>
      <c r="U319" s="448" t="s">
        <v>6204</v>
      </c>
      <c r="V319" s="448" t="s">
        <v>6205</v>
      </c>
    </row>
    <row r="320" spans="1:22">
      <c r="A320" s="448">
        <v>320</v>
      </c>
      <c r="B320" s="448" t="str">
        <f t="shared" si="4"/>
        <v>Trad320</v>
      </c>
      <c r="C320" s="449" t="s">
        <v>6206</v>
      </c>
      <c r="D320" s="448" t="s">
        <v>6207</v>
      </c>
      <c r="E320" s="448" t="s">
        <v>6208</v>
      </c>
      <c r="F320" s="448" t="s">
        <v>6209</v>
      </c>
      <c r="G320" s="448" t="s">
        <v>6210</v>
      </c>
      <c r="H320" s="448" t="s">
        <v>6211</v>
      </c>
      <c r="I320" s="448" t="s">
        <v>6212</v>
      </c>
      <c r="J320" s="451" t="s">
        <v>6213</v>
      </c>
      <c r="K320" s="448" t="s">
        <v>6214</v>
      </c>
      <c r="L320" s="448" t="s">
        <v>6215</v>
      </c>
      <c r="M320" s="448" t="s">
        <v>6216</v>
      </c>
      <c r="N320" s="448" t="s">
        <v>6217</v>
      </c>
      <c r="O320" s="448" t="s">
        <v>6218</v>
      </c>
      <c r="P320" s="448" t="s">
        <v>6219</v>
      </c>
      <c r="Q320" s="448" t="s">
        <v>6220</v>
      </c>
      <c r="R320" s="448" t="s">
        <v>6221</v>
      </c>
      <c r="S320" s="448" t="s">
        <v>6222</v>
      </c>
      <c r="T320" s="448" t="s">
        <v>6223</v>
      </c>
      <c r="U320" s="448" t="s">
        <v>6224</v>
      </c>
      <c r="V320" s="448" t="s">
        <v>6225</v>
      </c>
    </row>
    <row r="321" spans="1:22">
      <c r="A321" s="448">
        <v>321</v>
      </c>
      <c r="B321" s="448" t="str">
        <f t="shared" si="4"/>
        <v>Trad321</v>
      </c>
      <c r="C321" s="449" t="s">
        <v>6226</v>
      </c>
      <c r="D321" s="448" t="s">
        <v>6227</v>
      </c>
      <c r="E321" s="448" t="s">
        <v>6228</v>
      </c>
      <c r="F321" s="448" t="s">
        <v>6229</v>
      </c>
      <c r="G321" s="448" t="s">
        <v>6230</v>
      </c>
      <c r="H321" s="448" t="s">
        <v>6231</v>
      </c>
      <c r="I321" s="448" t="s">
        <v>6228</v>
      </c>
      <c r="J321" s="451" t="s">
        <v>6232</v>
      </c>
      <c r="K321" s="448" t="s">
        <v>6233</v>
      </c>
      <c r="L321" s="448" t="s">
        <v>6233</v>
      </c>
      <c r="M321" s="448" t="s">
        <v>6234</v>
      </c>
      <c r="N321" s="448" t="s">
        <v>6233</v>
      </c>
      <c r="O321" s="448" t="s">
        <v>6233</v>
      </c>
      <c r="P321" s="448" t="s">
        <v>6233</v>
      </c>
      <c r="Q321" s="448" t="s">
        <v>6233</v>
      </c>
      <c r="R321" s="448" t="s">
        <v>6235</v>
      </c>
      <c r="S321" s="448" t="s">
        <v>6233</v>
      </c>
      <c r="T321" s="448" t="s">
        <v>6236</v>
      </c>
      <c r="U321" s="448" t="s">
        <v>6233</v>
      </c>
      <c r="V321" s="448" t="s">
        <v>6233</v>
      </c>
    </row>
    <row r="322" spans="1:22">
      <c r="A322" s="448">
        <v>322</v>
      </c>
      <c r="B322" s="448" t="str">
        <f t="shared" ref="B322:B385" si="5">+_xlfn.CONCAT("Trad",A322)</f>
        <v>Trad322</v>
      </c>
      <c r="C322" s="449" t="s">
        <v>6237</v>
      </c>
      <c r="D322" s="448" t="s">
        <v>6238</v>
      </c>
      <c r="E322" s="448" t="s">
        <v>6239</v>
      </c>
      <c r="F322" s="448" t="s">
        <v>6240</v>
      </c>
      <c r="G322" s="448" t="s">
        <v>6241</v>
      </c>
      <c r="H322" s="448" t="s">
        <v>6242</v>
      </c>
      <c r="I322" s="448" t="s">
        <v>6243</v>
      </c>
      <c r="J322" s="451" t="s">
        <v>6244</v>
      </c>
      <c r="K322" s="448" t="s">
        <v>6245</v>
      </c>
      <c r="L322" s="448" t="s">
        <v>6246</v>
      </c>
      <c r="M322" s="448" t="s">
        <v>6247</v>
      </c>
      <c r="N322" s="448" t="s">
        <v>6248</v>
      </c>
      <c r="O322" s="448" t="s">
        <v>6249</v>
      </c>
      <c r="P322" s="448" t="s">
        <v>6250</v>
      </c>
      <c r="Q322" s="448" t="s">
        <v>6251</v>
      </c>
      <c r="R322" s="448" t="s">
        <v>6252</v>
      </c>
      <c r="S322" s="448" t="s">
        <v>6253</v>
      </c>
      <c r="T322" s="448" t="s">
        <v>6254</v>
      </c>
      <c r="U322" s="448" t="s">
        <v>6255</v>
      </c>
      <c r="V322" s="448" t="s">
        <v>6244</v>
      </c>
    </row>
    <row r="323" spans="1:22">
      <c r="A323" s="448">
        <v>323</v>
      </c>
      <c r="B323" s="448" t="str">
        <f t="shared" si="5"/>
        <v>Trad323</v>
      </c>
      <c r="C323" s="449" t="s">
        <v>6256</v>
      </c>
      <c r="D323" s="448" t="s">
        <v>6257</v>
      </c>
      <c r="E323" s="448" t="s">
        <v>6258</v>
      </c>
      <c r="F323" s="448" t="s">
        <v>6259</v>
      </c>
      <c r="G323" s="448" t="s">
        <v>6260</v>
      </c>
      <c r="H323" s="448" t="s">
        <v>6261</v>
      </c>
      <c r="I323" s="448" t="s">
        <v>6262</v>
      </c>
      <c r="J323" s="451" t="s">
        <v>6263</v>
      </c>
      <c r="K323" s="448" t="s">
        <v>6264</v>
      </c>
      <c r="L323" s="448" t="s">
        <v>6265</v>
      </c>
      <c r="M323" s="448" t="s">
        <v>6266</v>
      </c>
      <c r="N323" s="448" t="s">
        <v>6267</v>
      </c>
      <c r="O323" s="448" t="s">
        <v>6268</v>
      </c>
      <c r="P323" s="448" t="s">
        <v>6269</v>
      </c>
      <c r="Q323" s="448" t="s">
        <v>6270</v>
      </c>
      <c r="R323" s="448" t="s">
        <v>6271</v>
      </c>
      <c r="S323" s="448" t="s">
        <v>6272</v>
      </c>
      <c r="T323" s="448" t="s">
        <v>6273</v>
      </c>
      <c r="U323" s="448" t="s">
        <v>6274</v>
      </c>
      <c r="V323" s="448" t="s">
        <v>6275</v>
      </c>
    </row>
    <row r="324" spans="1:22" s="462" customFormat="1">
      <c r="A324" s="462">
        <v>324</v>
      </c>
      <c r="B324" s="462" t="str">
        <f t="shared" si="5"/>
        <v>Trad324</v>
      </c>
      <c r="C324" s="463" t="s">
        <v>6276</v>
      </c>
      <c r="D324" s="462" t="s">
        <v>6277</v>
      </c>
      <c r="E324" s="462" t="s">
        <v>6278</v>
      </c>
      <c r="F324" s="462" t="s">
        <v>6279</v>
      </c>
      <c r="G324" s="462" t="s">
        <v>6280</v>
      </c>
      <c r="H324" s="462" t="s">
        <v>6281</v>
      </c>
      <c r="I324" s="462" t="s">
        <v>6282</v>
      </c>
      <c r="J324" s="462" t="s">
        <v>6283</v>
      </c>
      <c r="K324" s="462" t="s">
        <v>6284</v>
      </c>
      <c r="L324" s="462" t="s">
        <v>6285</v>
      </c>
      <c r="M324" s="462" t="s">
        <v>6286</v>
      </c>
      <c r="N324" s="462" t="s">
        <v>6287</v>
      </c>
      <c r="O324" s="462" t="s">
        <v>6288</v>
      </c>
      <c r="P324" s="462" t="s">
        <v>6289</v>
      </c>
      <c r="Q324" s="462" t="s">
        <v>6290</v>
      </c>
      <c r="R324" s="462" t="s">
        <v>6291</v>
      </c>
      <c r="S324" s="462" t="s">
        <v>6292</v>
      </c>
      <c r="T324" s="462" t="s">
        <v>6293</v>
      </c>
      <c r="U324" s="462" t="s">
        <v>6294</v>
      </c>
      <c r="V324" s="462" t="s">
        <v>6295</v>
      </c>
    </row>
    <row r="325" spans="1:22">
      <c r="A325" s="448">
        <v>325</v>
      </c>
      <c r="B325" s="448" t="str">
        <f t="shared" si="5"/>
        <v>Trad325</v>
      </c>
      <c r="C325" s="449" t="s">
        <v>6296</v>
      </c>
      <c r="D325" s="448" t="s">
        <v>6297</v>
      </c>
      <c r="E325" s="448" t="s">
        <v>6298</v>
      </c>
      <c r="F325" s="448" t="s">
        <v>6299</v>
      </c>
      <c r="G325" s="448" t="s">
        <v>6300</v>
      </c>
      <c r="H325" s="448" t="s">
        <v>6301</v>
      </c>
      <c r="I325" s="448" t="s">
        <v>6302</v>
      </c>
      <c r="J325" s="451" t="s">
        <v>6303</v>
      </c>
      <c r="K325" s="448" t="s">
        <v>6304</v>
      </c>
      <c r="L325" s="448" t="s">
        <v>6305</v>
      </c>
      <c r="M325" s="448" t="s">
        <v>6306</v>
      </c>
      <c r="N325" s="448" t="s">
        <v>6307</v>
      </c>
      <c r="O325" s="448" t="s">
        <v>6308</v>
      </c>
      <c r="P325" s="448" t="s">
        <v>6309</v>
      </c>
      <c r="Q325" s="448" t="s">
        <v>6310</v>
      </c>
      <c r="R325" s="448" t="s">
        <v>6311</v>
      </c>
      <c r="S325" s="448" t="s">
        <v>6312</v>
      </c>
      <c r="T325" s="448" t="s">
        <v>6313</v>
      </c>
      <c r="U325" s="448" t="s">
        <v>6314</v>
      </c>
      <c r="V325" s="448" t="s">
        <v>6315</v>
      </c>
    </row>
    <row r="326" spans="1:22">
      <c r="A326" s="448">
        <v>326</v>
      </c>
      <c r="B326" s="448" t="str">
        <f t="shared" si="5"/>
        <v>Trad326</v>
      </c>
      <c r="C326" s="449" t="s">
        <v>6316</v>
      </c>
      <c r="D326" s="448" t="s">
        <v>6317</v>
      </c>
      <c r="E326" s="448" t="s">
        <v>6318</v>
      </c>
      <c r="F326" s="448" t="s">
        <v>6319</v>
      </c>
      <c r="G326" s="448" t="s">
        <v>6320</v>
      </c>
      <c r="H326" s="448" t="s">
        <v>6321</v>
      </c>
      <c r="I326" s="448" t="s">
        <v>6322</v>
      </c>
      <c r="J326" s="451" t="s">
        <v>6323</v>
      </c>
      <c r="K326" s="448" t="s">
        <v>6324</v>
      </c>
      <c r="L326" s="448" t="s">
        <v>6325</v>
      </c>
      <c r="M326" s="448" t="s">
        <v>6323</v>
      </c>
      <c r="N326" s="448" t="s">
        <v>6326</v>
      </c>
      <c r="O326" s="448" t="s">
        <v>6327</v>
      </c>
      <c r="P326" s="448" t="s">
        <v>6328</v>
      </c>
      <c r="Q326" s="448" t="s">
        <v>6329</v>
      </c>
      <c r="R326" s="448" t="s">
        <v>6330</v>
      </c>
      <c r="S326" s="448" t="s">
        <v>6331</v>
      </c>
      <c r="T326" s="448" t="s">
        <v>6332</v>
      </c>
      <c r="U326" s="448" t="s">
        <v>6333</v>
      </c>
      <c r="V326" s="448" t="s">
        <v>6334</v>
      </c>
    </row>
    <row r="327" spans="1:22">
      <c r="A327" s="448">
        <v>327</v>
      </c>
      <c r="B327" s="448" t="str">
        <f t="shared" si="5"/>
        <v>Trad327</v>
      </c>
      <c r="C327" s="449" t="s">
        <v>6335</v>
      </c>
      <c r="D327" s="448" t="s">
        <v>6336</v>
      </c>
      <c r="E327" s="448" t="s">
        <v>6337</v>
      </c>
      <c r="F327" s="448" t="s">
        <v>6338</v>
      </c>
      <c r="G327" s="448" t="s">
        <v>6339</v>
      </c>
      <c r="H327" s="448" t="s">
        <v>6340</v>
      </c>
      <c r="I327" s="448" t="s">
        <v>6341</v>
      </c>
      <c r="J327" s="451" t="s">
        <v>6342</v>
      </c>
      <c r="K327" s="448" t="s">
        <v>6343</v>
      </c>
      <c r="L327" s="448" t="s">
        <v>6344</v>
      </c>
      <c r="M327" s="448" t="s">
        <v>6345</v>
      </c>
      <c r="N327" s="448" t="s">
        <v>6346</v>
      </c>
      <c r="O327" s="448" t="s">
        <v>6347</v>
      </c>
      <c r="P327" s="448" t="s">
        <v>6348</v>
      </c>
      <c r="Q327" s="448" t="s">
        <v>6349</v>
      </c>
      <c r="R327" s="448" t="s">
        <v>6350</v>
      </c>
      <c r="S327" s="448" t="s">
        <v>6351</v>
      </c>
      <c r="T327" s="448" t="s">
        <v>6352</v>
      </c>
      <c r="U327" s="448" t="s">
        <v>6353</v>
      </c>
      <c r="V327" s="448" t="s">
        <v>6354</v>
      </c>
    </row>
    <row r="328" spans="1:22">
      <c r="A328" s="448">
        <v>328</v>
      </c>
      <c r="B328" s="448" t="str">
        <f t="shared" si="5"/>
        <v>Trad328</v>
      </c>
      <c r="C328" s="449" t="s">
        <v>6355</v>
      </c>
      <c r="D328" s="448" t="s">
        <v>6356</v>
      </c>
      <c r="E328" s="448" t="s">
        <v>6357</v>
      </c>
      <c r="F328" s="448" t="s">
        <v>6358</v>
      </c>
      <c r="G328" s="448" t="s">
        <v>6359</v>
      </c>
      <c r="H328" s="448" t="s">
        <v>6360</v>
      </c>
      <c r="I328" s="448" t="s">
        <v>6361</v>
      </c>
      <c r="J328" s="451" t="s">
        <v>6362</v>
      </c>
      <c r="K328" s="448" t="s">
        <v>6363</v>
      </c>
      <c r="L328" s="448" t="s">
        <v>6364</v>
      </c>
      <c r="M328" s="448" t="s">
        <v>6365</v>
      </c>
      <c r="N328" s="448" t="s">
        <v>6366</v>
      </c>
      <c r="O328" s="448" t="s">
        <v>6367</v>
      </c>
      <c r="P328" s="448" t="s">
        <v>6368</v>
      </c>
      <c r="Q328" s="448" t="s">
        <v>6369</v>
      </c>
      <c r="R328" s="448" t="s">
        <v>6370</v>
      </c>
      <c r="S328" s="448" t="s">
        <v>6371</v>
      </c>
      <c r="T328" s="448" t="s">
        <v>6372</v>
      </c>
      <c r="U328" s="448" t="s">
        <v>6373</v>
      </c>
      <c r="V328" s="448" t="s">
        <v>6374</v>
      </c>
    </row>
    <row r="329" spans="1:22">
      <c r="A329" s="448">
        <v>329</v>
      </c>
      <c r="B329" s="448" t="str">
        <f t="shared" si="5"/>
        <v>Trad329</v>
      </c>
      <c r="C329" s="449" t="s">
        <v>6375</v>
      </c>
      <c r="D329" s="448" t="s">
        <v>6376</v>
      </c>
      <c r="E329" s="448" t="s">
        <v>6377</v>
      </c>
      <c r="F329" s="448" t="s">
        <v>6378</v>
      </c>
      <c r="G329" s="448" t="s">
        <v>6379</v>
      </c>
      <c r="H329" s="448" t="s">
        <v>6380</v>
      </c>
      <c r="I329" s="448" t="s">
        <v>6381</v>
      </c>
      <c r="J329" s="451" t="s">
        <v>6382</v>
      </c>
      <c r="K329" s="448" t="s">
        <v>6383</v>
      </c>
      <c r="L329" s="448" t="s">
        <v>6384</v>
      </c>
      <c r="M329" s="448" t="s">
        <v>6385</v>
      </c>
      <c r="N329" s="448" t="s">
        <v>6386</v>
      </c>
      <c r="O329" s="448" t="s">
        <v>6387</v>
      </c>
      <c r="P329" s="448" t="s">
        <v>6388</v>
      </c>
      <c r="Q329" s="448" t="s">
        <v>6389</v>
      </c>
      <c r="R329" s="448" t="s">
        <v>6390</v>
      </c>
      <c r="S329" s="448" t="s">
        <v>6391</v>
      </c>
      <c r="T329" s="448" t="s">
        <v>6392</v>
      </c>
      <c r="U329" s="448" t="s">
        <v>6393</v>
      </c>
      <c r="V329" s="448" t="s">
        <v>6394</v>
      </c>
    </row>
    <row r="330" spans="1:22">
      <c r="A330" s="448">
        <v>330</v>
      </c>
      <c r="B330" s="448" t="str">
        <f t="shared" si="5"/>
        <v>Trad330</v>
      </c>
      <c r="C330" s="449" t="s">
        <v>6395</v>
      </c>
      <c r="D330" s="448" t="s">
        <v>6396</v>
      </c>
      <c r="E330" s="448" t="s">
        <v>6397</v>
      </c>
      <c r="F330" s="448" t="s">
        <v>2158</v>
      </c>
      <c r="G330" s="448" t="s">
        <v>6398</v>
      </c>
      <c r="H330" s="448" t="s">
        <v>6399</v>
      </c>
      <c r="I330" s="448" t="s">
        <v>6400</v>
      </c>
      <c r="J330" s="451" t="s">
        <v>6401</v>
      </c>
      <c r="K330" s="448" t="s">
        <v>6402</v>
      </c>
      <c r="L330" s="448" t="s">
        <v>6403</v>
      </c>
      <c r="M330" s="448" t="s">
        <v>6404</v>
      </c>
      <c r="N330" s="448" t="s">
        <v>6405</v>
      </c>
      <c r="O330" s="448" t="s">
        <v>6406</v>
      </c>
      <c r="P330" s="448" t="s">
        <v>6403</v>
      </c>
      <c r="Q330" s="448" t="s">
        <v>6396</v>
      </c>
      <c r="R330" s="448" t="s">
        <v>6398</v>
      </c>
      <c r="S330" s="448" t="s">
        <v>6407</v>
      </c>
      <c r="T330" s="448" t="s">
        <v>6408</v>
      </c>
      <c r="U330" s="448" t="s">
        <v>6409</v>
      </c>
      <c r="V330" s="448" t="s">
        <v>6410</v>
      </c>
    </row>
    <row r="331" spans="1:22">
      <c r="A331" s="448">
        <v>331</v>
      </c>
      <c r="B331" s="448" t="str">
        <f t="shared" si="5"/>
        <v>Trad331</v>
      </c>
      <c r="C331" s="449" t="s">
        <v>57</v>
      </c>
      <c r="D331" s="448" t="s">
        <v>6411</v>
      </c>
      <c r="E331" s="448" t="s">
        <v>6412</v>
      </c>
      <c r="F331" s="448" t="s">
        <v>6413</v>
      </c>
      <c r="G331" s="448" t="s">
        <v>6414</v>
      </c>
      <c r="H331" s="448" t="s">
        <v>6415</v>
      </c>
      <c r="I331" s="448" t="s">
        <v>6416</v>
      </c>
      <c r="J331" s="451" t="s">
        <v>57</v>
      </c>
      <c r="K331" s="448" t="s">
        <v>6417</v>
      </c>
      <c r="L331" s="448" t="s">
        <v>6418</v>
      </c>
      <c r="M331" s="448" t="s">
        <v>57</v>
      </c>
      <c r="N331" s="448" t="s">
        <v>6419</v>
      </c>
      <c r="O331" s="448" t="s">
        <v>6420</v>
      </c>
      <c r="P331" s="448" t="s">
        <v>6421</v>
      </c>
      <c r="Q331" s="448" t="s">
        <v>6422</v>
      </c>
      <c r="R331" s="448" t="s">
        <v>6423</v>
      </c>
      <c r="S331" s="448" t="s">
        <v>6424</v>
      </c>
      <c r="T331" s="448" t="s">
        <v>6425</v>
      </c>
      <c r="U331" s="448" t="s">
        <v>6426</v>
      </c>
      <c r="V331" s="448" t="s">
        <v>6427</v>
      </c>
    </row>
    <row r="332" spans="1:22">
      <c r="A332" s="448">
        <v>332</v>
      </c>
      <c r="B332" s="448" t="str">
        <f t="shared" si="5"/>
        <v>Trad332</v>
      </c>
      <c r="C332" s="449" t="s">
        <v>42</v>
      </c>
      <c r="D332" s="448" t="s">
        <v>6428</v>
      </c>
      <c r="E332" s="448" t="s">
        <v>6429</v>
      </c>
      <c r="F332" s="448" t="s">
        <v>6430</v>
      </c>
      <c r="G332" s="448" t="s">
        <v>125</v>
      </c>
      <c r="H332" s="448" t="s">
        <v>6431</v>
      </c>
      <c r="I332" s="448" t="s">
        <v>6432</v>
      </c>
      <c r="J332" s="451" t="s">
        <v>125</v>
      </c>
      <c r="K332" s="448" t="s">
        <v>6433</v>
      </c>
      <c r="L332" s="448" t="s">
        <v>6434</v>
      </c>
      <c r="M332" s="448" t="s">
        <v>6435</v>
      </c>
      <c r="N332" s="448" t="s">
        <v>6436</v>
      </c>
      <c r="O332" s="448" t="s">
        <v>6437</v>
      </c>
      <c r="P332" s="448" t="s">
        <v>6438</v>
      </c>
      <c r="Q332" s="448" t="s">
        <v>6439</v>
      </c>
      <c r="R332" s="448" t="s">
        <v>6440</v>
      </c>
      <c r="S332" s="448" t="s">
        <v>6441</v>
      </c>
      <c r="T332" s="448" t="s">
        <v>6442</v>
      </c>
      <c r="U332" s="448" t="s">
        <v>6443</v>
      </c>
      <c r="V332" s="448" t="s">
        <v>6444</v>
      </c>
    </row>
    <row r="333" spans="1:22">
      <c r="A333" s="448">
        <v>333</v>
      </c>
      <c r="B333" s="448" t="str">
        <f t="shared" si="5"/>
        <v>Trad333</v>
      </c>
      <c r="C333" s="449" t="s">
        <v>6445</v>
      </c>
      <c r="D333" s="448" t="s">
        <v>6446</v>
      </c>
      <c r="E333" s="448" t="s">
        <v>6447</v>
      </c>
      <c r="F333" s="448" t="s">
        <v>6448</v>
      </c>
      <c r="G333" s="448" t="s">
        <v>6449</v>
      </c>
      <c r="H333" s="448" t="s">
        <v>6450</v>
      </c>
      <c r="I333" s="448" t="s">
        <v>6451</v>
      </c>
      <c r="J333" s="451" t="s">
        <v>6452</v>
      </c>
      <c r="K333" s="448" t="s">
        <v>6453</v>
      </c>
      <c r="L333" s="448" t="s">
        <v>6454</v>
      </c>
      <c r="M333" s="448" t="s">
        <v>6455</v>
      </c>
      <c r="N333" s="448" t="s">
        <v>6456</v>
      </c>
      <c r="O333" s="448" t="s">
        <v>6457</v>
      </c>
      <c r="P333" s="448" t="s">
        <v>6458</v>
      </c>
      <c r="Q333" s="448" t="s">
        <v>6448</v>
      </c>
      <c r="R333" s="448" t="s">
        <v>6455</v>
      </c>
      <c r="S333" s="448" t="s">
        <v>6459</v>
      </c>
      <c r="T333" s="448" t="s">
        <v>6460</v>
      </c>
      <c r="U333" s="448" t="s">
        <v>6461</v>
      </c>
      <c r="V333" s="448" t="s">
        <v>6462</v>
      </c>
    </row>
    <row r="334" spans="1:22">
      <c r="A334" s="448">
        <v>334</v>
      </c>
      <c r="B334" s="448" t="str">
        <f t="shared" si="5"/>
        <v>Trad334</v>
      </c>
      <c r="C334" s="449" t="s">
        <v>6463</v>
      </c>
      <c r="D334" s="448" t="s">
        <v>6464</v>
      </c>
      <c r="E334" s="448" t="s">
        <v>6465</v>
      </c>
      <c r="F334" s="448" t="s">
        <v>6466</v>
      </c>
      <c r="G334" s="448" t="s">
        <v>6467</v>
      </c>
      <c r="H334" s="448" t="s">
        <v>6468</v>
      </c>
      <c r="I334" s="448" t="s">
        <v>6469</v>
      </c>
      <c r="J334" s="451" t="s">
        <v>6467</v>
      </c>
      <c r="K334" s="448" t="s">
        <v>6470</v>
      </c>
      <c r="L334" s="448" t="s">
        <v>6471</v>
      </c>
      <c r="M334" s="448" t="s">
        <v>6472</v>
      </c>
      <c r="N334" s="448" t="s">
        <v>6473</v>
      </c>
      <c r="O334" s="448" t="s">
        <v>6474</v>
      </c>
      <c r="P334" s="448" t="s">
        <v>6475</v>
      </c>
      <c r="Q334" s="448" t="s">
        <v>6476</v>
      </c>
      <c r="R334" s="448" t="s">
        <v>6477</v>
      </c>
      <c r="S334" s="448" t="s">
        <v>6478</v>
      </c>
      <c r="T334" s="448" t="s">
        <v>6479</v>
      </c>
      <c r="U334" s="448" t="s">
        <v>6480</v>
      </c>
      <c r="V334" s="448" t="s">
        <v>6481</v>
      </c>
    </row>
    <row r="335" spans="1:22">
      <c r="A335" s="448">
        <v>335</v>
      </c>
      <c r="B335" s="448" t="str">
        <f t="shared" si="5"/>
        <v>Trad335</v>
      </c>
      <c r="C335" s="449" t="s">
        <v>68</v>
      </c>
      <c r="D335" s="448" t="s">
        <v>6482</v>
      </c>
      <c r="E335" s="448" t="s">
        <v>6483</v>
      </c>
      <c r="F335" s="448" t="s">
        <v>6484</v>
      </c>
      <c r="G335" s="448" t="s">
        <v>6485</v>
      </c>
      <c r="H335" s="448" t="s">
        <v>6486</v>
      </c>
      <c r="I335" s="448" t="s">
        <v>6487</v>
      </c>
      <c r="J335" s="451" t="s">
        <v>6482</v>
      </c>
      <c r="K335" s="448" t="s">
        <v>6488</v>
      </c>
      <c r="L335" s="448" t="s">
        <v>6489</v>
      </c>
      <c r="M335" s="448" t="s">
        <v>6490</v>
      </c>
      <c r="N335" s="448" t="s">
        <v>6482</v>
      </c>
      <c r="O335" s="448" t="s">
        <v>6491</v>
      </c>
      <c r="P335" s="448" t="s">
        <v>6492</v>
      </c>
      <c r="Q335" s="448" t="s">
        <v>6493</v>
      </c>
      <c r="R335" s="448" t="s">
        <v>6494</v>
      </c>
      <c r="S335" s="448" t="s">
        <v>6482</v>
      </c>
      <c r="T335" s="448" t="s">
        <v>6482</v>
      </c>
      <c r="U335" s="448" t="s">
        <v>6495</v>
      </c>
      <c r="V335" s="448" t="s">
        <v>6482</v>
      </c>
    </row>
    <row r="336" spans="1:22">
      <c r="A336" s="448">
        <v>336</v>
      </c>
      <c r="B336" s="448" t="str">
        <f t="shared" si="5"/>
        <v>Trad336</v>
      </c>
      <c r="C336" s="449" t="s">
        <v>6496</v>
      </c>
      <c r="D336" s="448" t="s">
        <v>6497</v>
      </c>
      <c r="E336" s="448" t="s">
        <v>6498</v>
      </c>
      <c r="F336" s="448" t="s">
        <v>6499</v>
      </c>
      <c r="G336" s="448" t="s">
        <v>6500</v>
      </c>
      <c r="H336" s="448" t="s">
        <v>6501</v>
      </c>
      <c r="I336" s="448" t="s">
        <v>6502</v>
      </c>
      <c r="J336" s="451" t="s">
        <v>6503</v>
      </c>
      <c r="K336" s="448" t="s">
        <v>6504</v>
      </c>
      <c r="L336" s="448" t="s">
        <v>6505</v>
      </c>
      <c r="M336" s="448" t="s">
        <v>6506</v>
      </c>
      <c r="N336" s="448" t="s">
        <v>6503</v>
      </c>
      <c r="O336" s="448" t="s">
        <v>6507</v>
      </c>
      <c r="P336" s="448" t="s">
        <v>6508</v>
      </c>
      <c r="Q336" s="448" t="s">
        <v>6509</v>
      </c>
      <c r="R336" s="448" t="s">
        <v>6510</v>
      </c>
      <c r="S336" s="448" t="s">
        <v>6511</v>
      </c>
      <c r="T336" s="448" t="s">
        <v>6512</v>
      </c>
      <c r="U336" s="448" t="s">
        <v>6513</v>
      </c>
      <c r="V336" s="448" t="s">
        <v>6514</v>
      </c>
    </row>
    <row r="337" spans="1:22">
      <c r="A337" s="448">
        <v>337</v>
      </c>
      <c r="B337" s="448" t="str">
        <f t="shared" si="5"/>
        <v>Trad337</v>
      </c>
      <c r="C337" s="449" t="s">
        <v>6515</v>
      </c>
      <c r="D337" s="448" t="s">
        <v>6516</v>
      </c>
      <c r="E337" s="448" t="s">
        <v>6517</v>
      </c>
      <c r="F337" s="448" t="s">
        <v>6518</v>
      </c>
      <c r="G337" s="448" t="s">
        <v>6519</v>
      </c>
      <c r="H337" s="448" t="s">
        <v>6520</v>
      </c>
      <c r="I337" s="448" t="s">
        <v>6521</v>
      </c>
      <c r="J337" s="451" t="s">
        <v>6522</v>
      </c>
      <c r="K337" s="448" t="s">
        <v>6523</v>
      </c>
      <c r="L337" s="448" t="s">
        <v>6516</v>
      </c>
      <c r="M337" s="448" t="s">
        <v>6524</v>
      </c>
      <c r="N337" s="448" t="s">
        <v>6525</v>
      </c>
      <c r="O337" s="448" t="s">
        <v>6526</v>
      </c>
      <c r="P337" s="448" t="s">
        <v>6516</v>
      </c>
      <c r="Q337" s="448" t="s">
        <v>6527</v>
      </c>
      <c r="R337" s="448" t="s">
        <v>6528</v>
      </c>
      <c r="S337" s="448" t="s">
        <v>6529</v>
      </c>
      <c r="T337" s="448" t="s">
        <v>6530</v>
      </c>
      <c r="U337" s="448" t="s">
        <v>6531</v>
      </c>
      <c r="V337" s="448" t="s">
        <v>6532</v>
      </c>
    </row>
    <row r="338" spans="1:22">
      <c r="A338" s="448">
        <v>338</v>
      </c>
      <c r="B338" s="448" t="str">
        <f t="shared" si="5"/>
        <v>Trad338</v>
      </c>
      <c r="C338" s="449" t="s">
        <v>6533</v>
      </c>
      <c r="D338" s="448" t="s">
        <v>6534</v>
      </c>
      <c r="E338" s="448" t="s">
        <v>6535</v>
      </c>
      <c r="F338" s="448" t="s">
        <v>6536</v>
      </c>
      <c r="G338" s="448" t="s">
        <v>6537</v>
      </c>
      <c r="H338" s="448" t="s">
        <v>6538</v>
      </c>
      <c r="I338" s="448" t="s">
        <v>6539</v>
      </c>
      <c r="J338" s="451" t="s">
        <v>6540</v>
      </c>
      <c r="K338" s="448" t="s">
        <v>6541</v>
      </c>
      <c r="L338" s="448" t="s">
        <v>6542</v>
      </c>
      <c r="M338" s="448" t="s">
        <v>6543</v>
      </c>
      <c r="N338" s="448" t="s">
        <v>6544</v>
      </c>
      <c r="O338" s="448" t="s">
        <v>6545</v>
      </c>
      <c r="P338" s="448" t="s">
        <v>6534</v>
      </c>
      <c r="Q338" s="448" t="s">
        <v>6546</v>
      </c>
      <c r="R338" s="448" t="s">
        <v>6547</v>
      </c>
      <c r="S338" s="448" t="s">
        <v>6548</v>
      </c>
      <c r="T338" s="448" t="s">
        <v>6549</v>
      </c>
      <c r="U338" s="448" t="s">
        <v>6550</v>
      </c>
      <c r="V338" s="448" t="s">
        <v>6540</v>
      </c>
    </row>
    <row r="339" spans="1:22">
      <c r="A339" s="448">
        <v>339</v>
      </c>
      <c r="B339" s="448" t="str">
        <f t="shared" si="5"/>
        <v>Trad339</v>
      </c>
      <c r="C339" s="449" t="s">
        <v>82</v>
      </c>
      <c r="D339" s="448" t="s">
        <v>6551</v>
      </c>
      <c r="E339" s="448" t="s">
        <v>6552</v>
      </c>
      <c r="F339" s="448" t="s">
        <v>6553</v>
      </c>
      <c r="G339" s="448" t="s">
        <v>170</v>
      </c>
      <c r="H339" s="448" t="s">
        <v>6554</v>
      </c>
      <c r="I339" s="448" t="s">
        <v>6555</v>
      </c>
      <c r="J339" s="451" t="s">
        <v>170</v>
      </c>
      <c r="K339" s="448" t="s">
        <v>6556</v>
      </c>
      <c r="L339" s="448" t="s">
        <v>6557</v>
      </c>
      <c r="M339" s="448" t="s">
        <v>6558</v>
      </c>
      <c r="N339" s="448" t="s">
        <v>6559</v>
      </c>
      <c r="O339" s="448" t="s">
        <v>6560</v>
      </c>
      <c r="P339" s="448" t="s">
        <v>6561</v>
      </c>
      <c r="Q339" s="448" t="s">
        <v>6561</v>
      </c>
      <c r="R339" s="448" t="s">
        <v>6562</v>
      </c>
      <c r="S339" s="448" t="s">
        <v>6563</v>
      </c>
      <c r="T339" s="448" t="s">
        <v>6564</v>
      </c>
      <c r="U339" s="448" t="s">
        <v>6565</v>
      </c>
      <c r="V339" s="448" t="s">
        <v>6566</v>
      </c>
    </row>
    <row r="340" spans="1:22">
      <c r="A340" s="448">
        <v>340</v>
      </c>
      <c r="B340" s="448" t="str">
        <f t="shared" si="5"/>
        <v>Trad340</v>
      </c>
      <c r="C340" s="449" t="s">
        <v>83</v>
      </c>
      <c r="D340" s="448" t="s">
        <v>5385</v>
      </c>
      <c r="E340" s="448" t="s">
        <v>6567</v>
      </c>
      <c r="F340" s="448" t="s">
        <v>6568</v>
      </c>
      <c r="G340" s="448" t="s">
        <v>5388</v>
      </c>
      <c r="H340" s="448" t="s">
        <v>5389</v>
      </c>
      <c r="I340" s="448" t="s">
        <v>5390</v>
      </c>
      <c r="J340" s="451" t="s">
        <v>6569</v>
      </c>
      <c r="K340" s="448" t="s">
        <v>5391</v>
      </c>
      <c r="L340" s="448" t="s">
        <v>5392</v>
      </c>
      <c r="M340" s="448" t="s">
        <v>5393</v>
      </c>
      <c r="N340" s="448" t="s">
        <v>5394</v>
      </c>
      <c r="O340" s="448" t="s">
        <v>5395</v>
      </c>
      <c r="P340" s="448" t="s">
        <v>5396</v>
      </c>
      <c r="Q340" s="448" t="s">
        <v>5397</v>
      </c>
      <c r="R340" s="448" t="s">
        <v>5398</v>
      </c>
      <c r="S340" s="448" t="s">
        <v>5399</v>
      </c>
      <c r="T340" s="448" t="s">
        <v>5400</v>
      </c>
      <c r="U340" s="448" t="s">
        <v>5401</v>
      </c>
      <c r="V340" s="448" t="s">
        <v>6570</v>
      </c>
    </row>
    <row r="341" spans="1:22">
      <c r="A341" s="448">
        <v>341</v>
      </c>
      <c r="B341" s="448" t="str">
        <f t="shared" si="5"/>
        <v>Trad341</v>
      </c>
      <c r="C341" s="449" t="s">
        <v>6571</v>
      </c>
      <c r="D341" s="448" t="s">
        <v>6572</v>
      </c>
      <c r="E341" s="448" t="s">
        <v>6429</v>
      </c>
      <c r="F341" s="448" t="s">
        <v>6573</v>
      </c>
      <c r="G341" s="448" t="s">
        <v>125</v>
      </c>
      <c r="H341" s="448" t="s">
        <v>6429</v>
      </c>
      <c r="I341" s="448" t="s">
        <v>6574</v>
      </c>
      <c r="J341" s="451" t="s">
        <v>6575</v>
      </c>
      <c r="K341" s="448" t="s">
        <v>6576</v>
      </c>
      <c r="L341" s="448" t="s">
        <v>6577</v>
      </c>
      <c r="M341" s="448" t="s">
        <v>6578</v>
      </c>
      <c r="N341" s="448" t="s">
        <v>6436</v>
      </c>
      <c r="O341" s="448" t="s">
        <v>6579</v>
      </c>
      <c r="P341" s="448" t="s">
        <v>6580</v>
      </c>
      <c r="Q341" s="448" t="s">
        <v>6581</v>
      </c>
      <c r="R341" s="448" t="s">
        <v>6440</v>
      </c>
      <c r="S341" s="448" t="s">
        <v>6582</v>
      </c>
      <c r="T341" s="448" t="s">
        <v>6583</v>
      </c>
      <c r="U341" s="448" t="s">
        <v>6584</v>
      </c>
      <c r="V341" s="448" t="s">
        <v>6585</v>
      </c>
    </row>
    <row r="342" spans="1:22">
      <c r="A342" s="448">
        <v>342</v>
      </c>
      <c r="B342" s="448" t="str">
        <f t="shared" si="5"/>
        <v>Trad342</v>
      </c>
      <c r="C342" s="449" t="s">
        <v>6586</v>
      </c>
      <c r="D342" s="448" t="s">
        <v>6587</v>
      </c>
      <c r="E342" s="448" t="s">
        <v>6588</v>
      </c>
      <c r="F342" s="448" t="s">
        <v>6589</v>
      </c>
      <c r="G342" s="448" t="s">
        <v>6590</v>
      </c>
      <c r="H342" s="448" t="s">
        <v>6591</v>
      </c>
      <c r="I342" s="448" t="s">
        <v>6592</v>
      </c>
      <c r="J342" s="451" t="s">
        <v>6593</v>
      </c>
      <c r="K342" s="448" t="s">
        <v>6594</v>
      </c>
      <c r="L342" s="448" t="s">
        <v>6595</v>
      </c>
      <c r="M342" s="448" t="s">
        <v>6596</v>
      </c>
      <c r="N342" s="448" t="s">
        <v>6597</v>
      </c>
      <c r="O342" s="448" t="s">
        <v>6598</v>
      </c>
      <c r="P342" s="448" t="s">
        <v>6599</v>
      </c>
      <c r="Q342" s="448" t="s">
        <v>6600</v>
      </c>
      <c r="R342" s="448" t="s">
        <v>6601</v>
      </c>
      <c r="S342" s="448" t="s">
        <v>6602</v>
      </c>
      <c r="T342" s="448" t="s">
        <v>6603</v>
      </c>
      <c r="U342" s="448" t="s">
        <v>6604</v>
      </c>
      <c r="V342" s="448" t="s">
        <v>6605</v>
      </c>
    </row>
    <row r="343" spans="1:22">
      <c r="A343" s="448">
        <v>343</v>
      </c>
      <c r="B343" s="448" t="str">
        <f t="shared" si="5"/>
        <v>Trad343</v>
      </c>
      <c r="C343" s="449" t="s">
        <v>6606</v>
      </c>
      <c r="D343" s="448" t="s">
        <v>6607</v>
      </c>
      <c r="E343" s="448" t="s">
        <v>6608</v>
      </c>
      <c r="F343" s="448" t="s">
        <v>6609</v>
      </c>
      <c r="G343" s="448" t="s">
        <v>6610</v>
      </c>
      <c r="H343" s="448" t="s">
        <v>6611</v>
      </c>
      <c r="I343" s="448" t="s">
        <v>6612</v>
      </c>
      <c r="J343" s="451" t="s">
        <v>6613</v>
      </c>
      <c r="K343" s="448" t="s">
        <v>6614</v>
      </c>
      <c r="L343" s="448" t="s">
        <v>6615</v>
      </c>
      <c r="M343" s="448" t="s">
        <v>6616</v>
      </c>
      <c r="N343" s="448" t="s">
        <v>6617</v>
      </c>
      <c r="O343" s="448" t="s">
        <v>6618</v>
      </c>
      <c r="P343" s="448" t="s">
        <v>6619</v>
      </c>
      <c r="Q343" s="448" t="s">
        <v>6620</v>
      </c>
      <c r="R343" s="448" t="s">
        <v>6621</v>
      </c>
      <c r="S343" s="448" t="s">
        <v>6622</v>
      </c>
      <c r="T343" s="448" t="s">
        <v>6623</v>
      </c>
      <c r="U343" s="448" t="s">
        <v>6624</v>
      </c>
      <c r="V343" s="448" t="s">
        <v>6625</v>
      </c>
    </row>
    <row r="344" spans="1:22">
      <c r="A344" s="448">
        <v>344</v>
      </c>
      <c r="B344" s="448" t="str">
        <f t="shared" si="5"/>
        <v>Trad344</v>
      </c>
      <c r="C344" s="449" t="s">
        <v>6626</v>
      </c>
      <c r="D344" s="448" t="s">
        <v>6627</v>
      </c>
      <c r="E344" s="448" t="s">
        <v>6628</v>
      </c>
      <c r="F344" s="448" t="s">
        <v>6629</v>
      </c>
      <c r="G344" s="448" t="s">
        <v>6630</v>
      </c>
      <c r="H344" s="448" t="s">
        <v>6631</v>
      </c>
      <c r="I344" s="448" t="s">
        <v>6632</v>
      </c>
      <c r="J344" s="451" t="s">
        <v>6633</v>
      </c>
      <c r="K344" s="448" t="s">
        <v>6634</v>
      </c>
      <c r="L344" s="448" t="s">
        <v>6635</v>
      </c>
      <c r="M344" s="448" t="s">
        <v>6636</v>
      </c>
      <c r="N344" s="448" t="s">
        <v>6637</v>
      </c>
      <c r="O344" s="448" t="s">
        <v>6638</v>
      </c>
      <c r="P344" s="448" t="s">
        <v>6639</v>
      </c>
      <c r="Q344" s="448" t="s">
        <v>6640</v>
      </c>
      <c r="R344" s="448" t="s">
        <v>6641</v>
      </c>
      <c r="S344" s="448" t="s">
        <v>6642</v>
      </c>
      <c r="T344" s="448" t="s">
        <v>6643</v>
      </c>
      <c r="U344" s="448" t="s">
        <v>6644</v>
      </c>
      <c r="V344" s="448" t="s">
        <v>6645</v>
      </c>
    </row>
    <row r="345" spans="1:22">
      <c r="A345" s="448">
        <v>345</v>
      </c>
      <c r="B345" s="448" t="str">
        <f t="shared" si="5"/>
        <v>Trad345</v>
      </c>
      <c r="C345" s="449" t="s">
        <v>6646</v>
      </c>
      <c r="D345" s="448" t="s">
        <v>6647</v>
      </c>
      <c r="E345" s="448" t="s">
        <v>6648</v>
      </c>
      <c r="F345" s="448" t="s">
        <v>6649</v>
      </c>
      <c r="G345" s="448" t="s">
        <v>6650</v>
      </c>
      <c r="H345" s="448" t="s">
        <v>6651</v>
      </c>
      <c r="I345" s="448" t="s">
        <v>6652</v>
      </c>
      <c r="J345" s="451" t="s">
        <v>6653</v>
      </c>
      <c r="K345" s="448" t="s">
        <v>6654</v>
      </c>
      <c r="L345" s="448" t="s">
        <v>6655</v>
      </c>
      <c r="M345" s="448" t="s">
        <v>6656</v>
      </c>
      <c r="N345" s="448" t="s">
        <v>6657</v>
      </c>
      <c r="O345" s="448" t="s">
        <v>6658</v>
      </c>
      <c r="P345" s="448" t="s">
        <v>6659</v>
      </c>
      <c r="Q345" s="448" t="s">
        <v>6660</v>
      </c>
      <c r="R345" s="448" t="s">
        <v>6661</v>
      </c>
      <c r="S345" s="448" t="s">
        <v>6653</v>
      </c>
      <c r="T345" s="448" t="s">
        <v>6653</v>
      </c>
      <c r="U345" s="448" t="s">
        <v>6662</v>
      </c>
      <c r="V345" s="448" t="s">
        <v>6663</v>
      </c>
    </row>
    <row r="346" spans="1:22">
      <c r="A346" s="448">
        <v>346</v>
      </c>
      <c r="B346" s="448" t="str">
        <f t="shared" si="5"/>
        <v>Trad346</v>
      </c>
      <c r="C346" s="449" t="s">
        <v>6664</v>
      </c>
      <c r="D346" s="448" t="s">
        <v>6665</v>
      </c>
      <c r="E346" s="448" t="s">
        <v>6666</v>
      </c>
      <c r="F346" s="448" t="s">
        <v>6667</v>
      </c>
      <c r="G346" s="448" t="s">
        <v>6668</v>
      </c>
      <c r="H346" s="448" t="s">
        <v>6669</v>
      </c>
      <c r="I346" s="448" t="s">
        <v>6670</v>
      </c>
      <c r="J346" s="451" t="s">
        <v>6671</v>
      </c>
      <c r="K346" s="448" t="s">
        <v>6672</v>
      </c>
      <c r="L346" s="448" t="s">
        <v>6673</v>
      </c>
      <c r="M346" s="448" t="s">
        <v>6674</v>
      </c>
      <c r="N346" s="448" t="s">
        <v>6675</v>
      </c>
      <c r="O346" s="448" t="s">
        <v>6676</v>
      </c>
      <c r="P346" s="448" t="s">
        <v>6677</v>
      </c>
      <c r="Q346" s="448" t="s">
        <v>6678</v>
      </c>
      <c r="R346" s="448" t="s">
        <v>6679</v>
      </c>
      <c r="S346" s="448" t="s">
        <v>6680</v>
      </c>
      <c r="T346" s="448" t="s">
        <v>6681</v>
      </c>
      <c r="U346" s="448" t="s">
        <v>6682</v>
      </c>
      <c r="V346" s="448" t="s">
        <v>6683</v>
      </c>
    </row>
    <row r="347" spans="1:22">
      <c r="A347" s="448">
        <v>347</v>
      </c>
      <c r="B347" s="448" t="str">
        <f t="shared" si="5"/>
        <v>Trad347</v>
      </c>
      <c r="C347" s="449" t="s">
        <v>6684</v>
      </c>
      <c r="D347" s="448" t="s">
        <v>6685</v>
      </c>
      <c r="E347" s="448" t="s">
        <v>6686</v>
      </c>
      <c r="F347" s="448" t="s">
        <v>6687</v>
      </c>
      <c r="G347" s="448" t="s">
        <v>6688</v>
      </c>
      <c r="H347" s="448" t="s">
        <v>6689</v>
      </c>
      <c r="I347" s="448" t="s">
        <v>6690</v>
      </c>
      <c r="J347" s="451" t="s">
        <v>6685</v>
      </c>
      <c r="K347" s="448" t="s">
        <v>6691</v>
      </c>
      <c r="L347" s="448" t="s">
        <v>6692</v>
      </c>
      <c r="M347" s="448" t="s">
        <v>6693</v>
      </c>
      <c r="N347" s="448" t="s">
        <v>6694</v>
      </c>
      <c r="O347" s="448" t="s">
        <v>6695</v>
      </c>
      <c r="P347" s="448" t="s">
        <v>6685</v>
      </c>
      <c r="Q347" s="448" t="s">
        <v>6696</v>
      </c>
      <c r="R347" s="448" t="s">
        <v>6697</v>
      </c>
      <c r="S347" s="448" t="s">
        <v>6685</v>
      </c>
      <c r="T347" s="448" t="s">
        <v>6685</v>
      </c>
      <c r="U347" s="448" t="s">
        <v>6698</v>
      </c>
      <c r="V347" s="448" t="s">
        <v>6699</v>
      </c>
    </row>
    <row r="348" spans="1:22">
      <c r="A348" s="448">
        <v>348</v>
      </c>
      <c r="B348" s="448" t="str">
        <f t="shared" si="5"/>
        <v>Trad348</v>
      </c>
      <c r="C348" s="449" t="s">
        <v>6700</v>
      </c>
      <c r="D348" s="448" t="s">
        <v>6701</v>
      </c>
      <c r="E348" s="448" t="s">
        <v>6702</v>
      </c>
      <c r="F348" s="448" t="s">
        <v>6700</v>
      </c>
      <c r="G348" s="448" t="s">
        <v>6703</v>
      </c>
      <c r="H348" s="448" t="s">
        <v>6704</v>
      </c>
      <c r="I348" s="448" t="s">
        <v>6705</v>
      </c>
      <c r="J348" s="451" t="s">
        <v>6706</v>
      </c>
      <c r="K348" s="448" t="s">
        <v>6707</v>
      </c>
      <c r="L348" s="448" t="s">
        <v>6708</v>
      </c>
      <c r="M348" s="448" t="s">
        <v>6709</v>
      </c>
      <c r="N348" s="448" t="s">
        <v>6708</v>
      </c>
      <c r="O348" s="448" t="s">
        <v>6710</v>
      </c>
      <c r="P348" s="448" t="s">
        <v>6701</v>
      </c>
      <c r="Q348" s="448" t="s">
        <v>6700</v>
      </c>
      <c r="R348" s="448" t="s">
        <v>6711</v>
      </c>
      <c r="S348" s="448" t="s">
        <v>6712</v>
      </c>
      <c r="T348" s="448" t="s">
        <v>6706</v>
      </c>
      <c r="U348" s="448" t="s">
        <v>6713</v>
      </c>
      <c r="V348" s="448" t="s">
        <v>6714</v>
      </c>
    </row>
    <row r="349" spans="1:22">
      <c r="A349" s="448">
        <v>349</v>
      </c>
      <c r="B349" s="448" t="str">
        <f t="shared" si="5"/>
        <v>Trad349</v>
      </c>
      <c r="C349" s="449" t="s">
        <v>6715</v>
      </c>
      <c r="D349" s="448" t="s">
        <v>6716</v>
      </c>
      <c r="E349" s="448" t="s">
        <v>6717</v>
      </c>
      <c r="F349" s="448" t="s">
        <v>6718</v>
      </c>
      <c r="G349" s="448" t="s">
        <v>6719</v>
      </c>
      <c r="H349" s="448" t="s">
        <v>6720</v>
      </c>
      <c r="I349" s="448" t="s">
        <v>6721</v>
      </c>
      <c r="J349" s="451" t="s">
        <v>6722</v>
      </c>
      <c r="K349" s="448" t="s">
        <v>6723</v>
      </c>
      <c r="L349" s="448" t="s">
        <v>6724</v>
      </c>
      <c r="M349" s="448" t="s">
        <v>6725</v>
      </c>
      <c r="N349" s="448" t="s">
        <v>6726</v>
      </c>
      <c r="O349" s="448" t="s">
        <v>6727</v>
      </c>
      <c r="P349" s="448" t="s">
        <v>6728</v>
      </c>
      <c r="Q349" s="448" t="s">
        <v>6729</v>
      </c>
      <c r="R349" s="448" t="s">
        <v>6730</v>
      </c>
      <c r="S349" s="448" t="s">
        <v>6731</v>
      </c>
      <c r="T349" s="448" t="s">
        <v>6732</v>
      </c>
      <c r="U349" s="448" t="s">
        <v>6733</v>
      </c>
      <c r="V349" s="448" t="s">
        <v>6734</v>
      </c>
    </row>
    <row r="350" spans="1:22">
      <c r="A350" s="448">
        <v>350</v>
      </c>
      <c r="B350" s="448" t="str">
        <f t="shared" si="5"/>
        <v>Trad350</v>
      </c>
      <c r="C350" s="449" t="s">
        <v>6735</v>
      </c>
      <c r="D350" s="448" t="s">
        <v>6736</v>
      </c>
      <c r="E350" s="448" t="s">
        <v>6737</v>
      </c>
      <c r="F350" s="448" t="s">
        <v>6738</v>
      </c>
      <c r="G350" s="448" t="s">
        <v>6739</v>
      </c>
      <c r="H350" s="448" t="s">
        <v>6740</v>
      </c>
      <c r="I350" s="448" t="s">
        <v>6741</v>
      </c>
      <c r="J350" s="451" t="s">
        <v>6742</v>
      </c>
      <c r="K350" s="448" t="s">
        <v>6743</v>
      </c>
      <c r="L350" s="448" t="s">
        <v>6744</v>
      </c>
      <c r="M350" s="448" t="s">
        <v>6745</v>
      </c>
      <c r="N350" s="448" t="s">
        <v>6746</v>
      </c>
      <c r="O350" s="448" t="s">
        <v>6747</v>
      </c>
      <c r="P350" s="448" t="s">
        <v>6736</v>
      </c>
      <c r="Q350" s="448" t="s">
        <v>6748</v>
      </c>
      <c r="R350" s="448" t="s">
        <v>6749</v>
      </c>
      <c r="S350" s="448" t="s">
        <v>6750</v>
      </c>
      <c r="T350" s="448" t="s">
        <v>6751</v>
      </c>
      <c r="U350" s="448" t="s">
        <v>6752</v>
      </c>
      <c r="V350" s="448" t="s">
        <v>6753</v>
      </c>
    </row>
    <row r="351" spans="1:22">
      <c r="A351" s="448">
        <v>351</v>
      </c>
      <c r="B351" s="448" t="str">
        <f t="shared" si="5"/>
        <v>Trad351</v>
      </c>
      <c r="C351" s="449" t="s">
        <v>6754</v>
      </c>
      <c r="D351" s="448" t="s">
        <v>6755</v>
      </c>
      <c r="E351" s="448" t="s">
        <v>6756</v>
      </c>
      <c r="F351" s="448" t="s">
        <v>6757</v>
      </c>
      <c r="G351" s="448" t="s">
        <v>6758</v>
      </c>
      <c r="H351" s="448" t="s">
        <v>6759</v>
      </c>
      <c r="I351" s="448" t="s">
        <v>6760</v>
      </c>
      <c r="J351" s="451" t="s">
        <v>6761</v>
      </c>
      <c r="K351" s="448" t="s">
        <v>6762</v>
      </c>
      <c r="L351" s="448" t="s">
        <v>6763</v>
      </c>
      <c r="M351" s="448" t="s">
        <v>6764</v>
      </c>
      <c r="N351" s="448" t="s">
        <v>6765</v>
      </c>
      <c r="O351" s="448" t="s">
        <v>6766</v>
      </c>
      <c r="P351" s="448" t="s">
        <v>6767</v>
      </c>
      <c r="Q351" s="448" t="s">
        <v>6768</v>
      </c>
      <c r="R351" s="448" t="s">
        <v>6769</v>
      </c>
      <c r="S351" s="448" t="s">
        <v>6770</v>
      </c>
      <c r="T351" s="448" t="s">
        <v>6771</v>
      </c>
      <c r="U351" s="448" t="s">
        <v>6772</v>
      </c>
      <c r="V351" s="448" t="s">
        <v>6773</v>
      </c>
    </row>
    <row r="352" spans="1:22">
      <c r="A352" s="448">
        <v>352</v>
      </c>
      <c r="B352" s="448" t="str">
        <f t="shared" si="5"/>
        <v>Trad352</v>
      </c>
      <c r="C352" s="449" t="s">
        <v>6774</v>
      </c>
      <c r="D352" s="448" t="s">
        <v>6775</v>
      </c>
      <c r="E352" s="448" t="s">
        <v>6776</v>
      </c>
      <c r="F352" s="448" t="s">
        <v>6777</v>
      </c>
      <c r="G352" s="448" t="s">
        <v>6778</v>
      </c>
      <c r="H352" s="448" t="s">
        <v>6779</v>
      </c>
      <c r="I352" s="448" t="s">
        <v>6780</v>
      </c>
      <c r="J352" s="451" t="s">
        <v>6781</v>
      </c>
      <c r="K352" s="448" t="s">
        <v>6782</v>
      </c>
      <c r="L352" s="448" t="s">
        <v>6783</v>
      </c>
      <c r="M352" s="448" t="s">
        <v>6784</v>
      </c>
      <c r="N352" s="448" t="s">
        <v>6785</v>
      </c>
      <c r="O352" s="448" t="s">
        <v>6786</v>
      </c>
      <c r="P352" s="448" t="s">
        <v>6787</v>
      </c>
      <c r="Q352" s="448" t="s">
        <v>6788</v>
      </c>
      <c r="R352" s="448" t="s">
        <v>6789</v>
      </c>
      <c r="S352" s="448" t="s">
        <v>6790</v>
      </c>
      <c r="T352" s="448" t="s">
        <v>6791</v>
      </c>
      <c r="U352" s="448" t="s">
        <v>6792</v>
      </c>
      <c r="V352" s="448" t="s">
        <v>6793</v>
      </c>
    </row>
    <row r="353" spans="1:22">
      <c r="A353" s="448">
        <v>353</v>
      </c>
      <c r="B353" s="448" t="str">
        <f t="shared" si="5"/>
        <v>Trad353</v>
      </c>
      <c r="C353" s="449" t="s">
        <v>6794</v>
      </c>
      <c r="D353" s="448" t="s">
        <v>6795</v>
      </c>
      <c r="E353" s="448" t="s">
        <v>6796</v>
      </c>
      <c r="F353" s="448" t="s">
        <v>6797</v>
      </c>
      <c r="G353" s="448" t="s">
        <v>6798</v>
      </c>
      <c r="H353" s="448" t="s">
        <v>6799</v>
      </c>
      <c r="I353" s="448" t="s">
        <v>6800</v>
      </c>
      <c r="J353" s="451" t="s">
        <v>6801</v>
      </c>
      <c r="K353" s="448" t="s">
        <v>6802</v>
      </c>
      <c r="L353" s="448" t="s">
        <v>6803</v>
      </c>
      <c r="M353" s="448" t="s">
        <v>6804</v>
      </c>
      <c r="N353" s="448" t="s">
        <v>6805</v>
      </c>
      <c r="O353" s="448" t="s">
        <v>6806</v>
      </c>
      <c r="P353" s="448" t="s">
        <v>6807</v>
      </c>
      <c r="Q353" s="448" t="s">
        <v>6808</v>
      </c>
      <c r="R353" s="448" t="s">
        <v>6809</v>
      </c>
      <c r="S353" s="448" t="s">
        <v>6810</v>
      </c>
      <c r="T353" s="448" t="s">
        <v>6811</v>
      </c>
      <c r="U353" s="448" t="s">
        <v>6812</v>
      </c>
      <c r="V353" s="448" t="s">
        <v>6813</v>
      </c>
    </row>
    <row r="354" spans="1:22">
      <c r="A354" s="448">
        <v>354</v>
      </c>
      <c r="B354" s="448" t="str">
        <f t="shared" si="5"/>
        <v>Trad354</v>
      </c>
      <c r="C354" s="449" t="s">
        <v>6814</v>
      </c>
      <c r="D354" s="448" t="s">
        <v>6815</v>
      </c>
      <c r="E354" s="448" t="s">
        <v>6815</v>
      </c>
      <c r="F354" s="448" t="s">
        <v>6815</v>
      </c>
      <c r="G354" s="448" t="s">
        <v>6815</v>
      </c>
      <c r="H354" s="448" t="s">
        <v>6816</v>
      </c>
      <c r="I354" s="448" t="s">
        <v>6815</v>
      </c>
      <c r="J354" s="451" t="s">
        <v>6815</v>
      </c>
      <c r="K354" s="448" t="s">
        <v>6815</v>
      </c>
      <c r="L354" s="448" t="s">
        <v>6815</v>
      </c>
      <c r="M354" s="448" t="s">
        <v>6815</v>
      </c>
      <c r="N354" s="448" t="s">
        <v>6815</v>
      </c>
      <c r="O354" s="448" t="s">
        <v>6815</v>
      </c>
      <c r="P354" s="448" t="s">
        <v>6815</v>
      </c>
      <c r="Q354" s="448" t="s">
        <v>6815</v>
      </c>
      <c r="R354" s="448" t="s">
        <v>6815</v>
      </c>
      <c r="S354" s="448" t="s">
        <v>6815</v>
      </c>
      <c r="T354" s="448" t="s">
        <v>6815</v>
      </c>
      <c r="U354" s="448" t="s">
        <v>6815</v>
      </c>
      <c r="V354" s="448" t="s">
        <v>6815</v>
      </c>
    </row>
    <row r="355" spans="1:22">
      <c r="A355" s="448">
        <v>355</v>
      </c>
      <c r="B355" s="448" t="str">
        <f t="shared" si="5"/>
        <v>Trad355</v>
      </c>
      <c r="C355" s="449" t="s">
        <v>6817</v>
      </c>
      <c r="D355" s="448" t="s">
        <v>6818</v>
      </c>
      <c r="E355" s="448" t="s">
        <v>6819</v>
      </c>
      <c r="F355" s="448" t="s">
        <v>6820</v>
      </c>
      <c r="G355" s="448" t="s">
        <v>6821</v>
      </c>
      <c r="H355" s="448" t="s">
        <v>6822</v>
      </c>
      <c r="I355" s="448" t="s">
        <v>6823</v>
      </c>
      <c r="J355" s="451" t="s">
        <v>6818</v>
      </c>
      <c r="K355" s="448" t="s">
        <v>6818</v>
      </c>
      <c r="L355" s="448" t="s">
        <v>6824</v>
      </c>
      <c r="M355" s="448" t="s">
        <v>6818</v>
      </c>
      <c r="N355" s="448" t="s">
        <v>6818</v>
      </c>
      <c r="O355" s="448" t="s">
        <v>6825</v>
      </c>
      <c r="P355" s="448" t="s">
        <v>6818</v>
      </c>
      <c r="Q355" s="448" t="s">
        <v>6818</v>
      </c>
      <c r="R355" s="448" t="s">
        <v>6826</v>
      </c>
      <c r="S355" s="448" t="s">
        <v>6818</v>
      </c>
      <c r="T355" s="448" t="s">
        <v>6818</v>
      </c>
      <c r="U355" s="448" t="s">
        <v>6818</v>
      </c>
      <c r="V355" s="448" t="s">
        <v>6827</v>
      </c>
    </row>
    <row r="356" spans="1:22">
      <c r="A356" s="448">
        <v>356</v>
      </c>
      <c r="B356" s="448" t="str">
        <f t="shared" si="5"/>
        <v>Trad356</v>
      </c>
      <c r="C356" s="449" t="s">
        <v>6828</v>
      </c>
      <c r="D356" s="448" t="s">
        <v>6829</v>
      </c>
      <c r="E356" s="448" t="s">
        <v>6830</v>
      </c>
      <c r="F356" s="448" t="s">
        <v>6831</v>
      </c>
      <c r="G356" s="448" t="s">
        <v>6832</v>
      </c>
      <c r="H356" s="448" t="s">
        <v>6833</v>
      </c>
      <c r="I356" s="448" t="s">
        <v>6834</v>
      </c>
      <c r="J356" s="451" t="s">
        <v>6835</v>
      </c>
      <c r="K356" s="448" t="s">
        <v>6836</v>
      </c>
      <c r="L356" s="448" t="s">
        <v>6837</v>
      </c>
      <c r="M356" s="448" t="s">
        <v>6838</v>
      </c>
      <c r="N356" s="448" t="s">
        <v>6839</v>
      </c>
      <c r="O356" s="448" t="s">
        <v>6840</v>
      </c>
      <c r="P356" s="448" t="s">
        <v>6829</v>
      </c>
      <c r="Q356" s="448" t="s">
        <v>6841</v>
      </c>
      <c r="R356" s="448" t="s">
        <v>6842</v>
      </c>
      <c r="S356" s="448" t="s">
        <v>6843</v>
      </c>
      <c r="T356" s="448" t="s">
        <v>6844</v>
      </c>
      <c r="U356" s="448" t="s">
        <v>6845</v>
      </c>
      <c r="V356" s="448" t="s">
        <v>6846</v>
      </c>
    </row>
    <row r="357" spans="1:22">
      <c r="A357" s="448">
        <v>357</v>
      </c>
      <c r="B357" s="448" t="str">
        <f t="shared" si="5"/>
        <v>Trad357</v>
      </c>
      <c r="C357" s="449" t="s">
        <v>6847</v>
      </c>
      <c r="D357" s="448" t="s">
        <v>6848</v>
      </c>
      <c r="E357" s="448" t="s">
        <v>6849</v>
      </c>
      <c r="F357" s="448" t="s">
        <v>6850</v>
      </c>
      <c r="G357" s="448" t="s">
        <v>6851</v>
      </c>
      <c r="H357" s="448" t="s">
        <v>6852</v>
      </c>
      <c r="I357" s="448" t="s">
        <v>6853</v>
      </c>
      <c r="J357" s="451" t="s">
        <v>6854</v>
      </c>
      <c r="K357" s="448" t="s">
        <v>6855</v>
      </c>
      <c r="L357" s="448" t="s">
        <v>6856</v>
      </c>
      <c r="M357" s="448" t="s">
        <v>6857</v>
      </c>
      <c r="N357" s="448" t="s">
        <v>6858</v>
      </c>
      <c r="O357" s="448" t="s">
        <v>6859</v>
      </c>
      <c r="P357" s="448" t="s">
        <v>6860</v>
      </c>
      <c r="Q357" s="448" t="s">
        <v>6861</v>
      </c>
      <c r="R357" s="448" t="s">
        <v>6862</v>
      </c>
      <c r="S357" s="448" t="s">
        <v>6863</v>
      </c>
      <c r="T357" s="448" t="s">
        <v>6864</v>
      </c>
      <c r="U357" s="448" t="s">
        <v>6865</v>
      </c>
      <c r="V357" s="448" t="s">
        <v>6866</v>
      </c>
    </row>
    <row r="358" spans="1:22">
      <c r="A358" s="448">
        <v>358</v>
      </c>
      <c r="B358" s="448" t="str">
        <f t="shared" si="5"/>
        <v>Trad358</v>
      </c>
      <c r="C358" s="449" t="s">
        <v>6867</v>
      </c>
      <c r="D358" s="448" t="s">
        <v>6868</v>
      </c>
      <c r="E358" s="448" t="s">
        <v>6869</v>
      </c>
      <c r="F358" s="448" t="s">
        <v>6870</v>
      </c>
      <c r="G358" s="448" t="s">
        <v>6871</v>
      </c>
      <c r="H358" s="448" t="s">
        <v>6872</v>
      </c>
      <c r="I358" s="448" t="s">
        <v>6873</v>
      </c>
      <c r="J358" s="451" t="s">
        <v>6874</v>
      </c>
      <c r="K358" s="448" t="s">
        <v>6875</v>
      </c>
      <c r="L358" s="448" t="s">
        <v>6876</v>
      </c>
      <c r="M358" s="448" t="s">
        <v>6877</v>
      </c>
      <c r="N358" s="448" t="s">
        <v>6878</v>
      </c>
      <c r="O358" s="448" t="s">
        <v>6879</v>
      </c>
      <c r="P358" s="448" t="s">
        <v>6880</v>
      </c>
      <c r="Q358" s="448" t="s">
        <v>6881</v>
      </c>
      <c r="R358" s="448" t="s">
        <v>6882</v>
      </c>
      <c r="S358" s="448" t="s">
        <v>6883</v>
      </c>
      <c r="T358" s="448" t="s">
        <v>6884</v>
      </c>
      <c r="U358" s="448" t="s">
        <v>6885</v>
      </c>
      <c r="V358" s="448" t="s">
        <v>6886</v>
      </c>
    </row>
    <row r="359" spans="1:22">
      <c r="A359" s="448">
        <v>359</v>
      </c>
      <c r="B359" s="448" t="str">
        <f t="shared" si="5"/>
        <v>Trad359</v>
      </c>
      <c r="C359" s="449" t="s">
        <v>6887</v>
      </c>
      <c r="D359" s="448" t="s">
        <v>410</v>
      </c>
      <c r="E359" s="448" t="s">
        <v>6888</v>
      </c>
      <c r="F359" s="448" t="s">
        <v>6889</v>
      </c>
      <c r="G359" s="448" t="s">
        <v>6890</v>
      </c>
      <c r="H359" s="448" t="s">
        <v>6890</v>
      </c>
      <c r="I359" s="448" t="s">
        <v>6891</v>
      </c>
      <c r="J359" s="451" t="s">
        <v>6890</v>
      </c>
      <c r="K359" s="448" t="s">
        <v>6892</v>
      </c>
      <c r="L359" s="448" t="s">
        <v>6893</v>
      </c>
      <c r="M359" s="448" t="s">
        <v>6894</v>
      </c>
      <c r="N359" s="448" t="s">
        <v>6895</v>
      </c>
      <c r="O359" s="448" t="s">
        <v>6896</v>
      </c>
      <c r="P359" s="448" t="s">
        <v>410</v>
      </c>
      <c r="Q359" s="448" t="s">
        <v>6897</v>
      </c>
      <c r="R359" s="448" t="s">
        <v>6898</v>
      </c>
      <c r="S359" s="448" t="s">
        <v>6899</v>
      </c>
      <c r="T359" s="448" t="s">
        <v>6890</v>
      </c>
      <c r="U359" s="448" t="s">
        <v>6900</v>
      </c>
      <c r="V359" s="448" t="s">
        <v>426</v>
      </c>
    </row>
    <row r="360" spans="1:22">
      <c r="A360" s="448">
        <v>360</v>
      </c>
      <c r="B360" s="448" t="str">
        <f t="shared" si="5"/>
        <v>Trad360</v>
      </c>
      <c r="C360" s="449" t="s">
        <v>2334</v>
      </c>
      <c r="D360" s="448" t="s">
        <v>6901</v>
      </c>
      <c r="E360" s="448" t="s">
        <v>6902</v>
      </c>
      <c r="F360" s="448" t="s">
        <v>6903</v>
      </c>
      <c r="G360" s="448" t="s">
        <v>6904</v>
      </c>
      <c r="H360" s="448" t="s">
        <v>4840</v>
      </c>
      <c r="I360" s="448" t="s">
        <v>6905</v>
      </c>
      <c r="J360" s="451" t="s">
        <v>4840</v>
      </c>
      <c r="K360" s="448" t="s">
        <v>6906</v>
      </c>
      <c r="L360" s="448" t="s">
        <v>6907</v>
      </c>
      <c r="M360" s="448" t="s">
        <v>6908</v>
      </c>
      <c r="N360" s="448" t="s">
        <v>6909</v>
      </c>
      <c r="O360" s="448" t="s">
        <v>6910</v>
      </c>
      <c r="P360" s="448" t="s">
        <v>6911</v>
      </c>
      <c r="Q360" s="448" t="s">
        <v>6912</v>
      </c>
      <c r="R360" s="448" t="s">
        <v>6913</v>
      </c>
      <c r="S360" s="448" t="s">
        <v>6914</v>
      </c>
      <c r="T360" s="448" t="s">
        <v>6915</v>
      </c>
      <c r="U360" s="448" t="s">
        <v>6916</v>
      </c>
      <c r="V360" s="448" t="s">
        <v>6917</v>
      </c>
    </row>
    <row r="361" spans="1:22">
      <c r="A361" s="448">
        <v>361</v>
      </c>
      <c r="B361" s="448" t="str">
        <f t="shared" si="5"/>
        <v>Trad361</v>
      </c>
      <c r="C361" s="449" t="s">
        <v>6918</v>
      </c>
      <c r="D361" s="448" t="s">
        <v>6919</v>
      </c>
      <c r="E361" s="448" t="s">
        <v>6920</v>
      </c>
      <c r="F361" s="448" t="s">
        <v>6921</v>
      </c>
      <c r="G361" s="448" t="s">
        <v>6922</v>
      </c>
      <c r="H361" s="448" t="s">
        <v>6922</v>
      </c>
      <c r="I361" s="448" t="s">
        <v>6923</v>
      </c>
      <c r="J361" s="451" t="s">
        <v>6922</v>
      </c>
      <c r="K361" s="448" t="s">
        <v>6922</v>
      </c>
      <c r="L361" s="448" t="s">
        <v>6922</v>
      </c>
      <c r="M361" s="448" t="s">
        <v>6922</v>
      </c>
      <c r="N361" s="448" t="s">
        <v>6924</v>
      </c>
      <c r="O361" s="448" t="s">
        <v>6925</v>
      </c>
      <c r="P361" s="448" t="s">
        <v>6926</v>
      </c>
      <c r="Q361" s="448" t="s">
        <v>6927</v>
      </c>
      <c r="R361" s="448" t="s">
        <v>6928</v>
      </c>
      <c r="S361" s="448" t="s">
        <v>6922</v>
      </c>
      <c r="T361" s="448" t="s">
        <v>6922</v>
      </c>
      <c r="U361" s="448" t="s">
        <v>6922</v>
      </c>
      <c r="V361" s="448" t="s">
        <v>6929</v>
      </c>
    </row>
    <row r="362" spans="1:22">
      <c r="A362" s="448">
        <v>362</v>
      </c>
      <c r="B362" s="448" t="str">
        <f t="shared" si="5"/>
        <v>Trad362</v>
      </c>
      <c r="C362" s="449" t="s">
        <v>6930</v>
      </c>
      <c r="D362" s="448" t="s">
        <v>6931</v>
      </c>
      <c r="E362" s="448" t="s">
        <v>6932</v>
      </c>
      <c r="F362" s="448" t="s">
        <v>6933</v>
      </c>
      <c r="G362" s="448" t="s">
        <v>6934</v>
      </c>
      <c r="H362" s="448" t="s">
        <v>6932</v>
      </c>
      <c r="I362" s="448" t="s">
        <v>6935</v>
      </c>
      <c r="J362" s="451" t="s">
        <v>6936</v>
      </c>
      <c r="K362" s="448" t="s">
        <v>6937</v>
      </c>
      <c r="L362" s="448" t="s">
        <v>6938</v>
      </c>
      <c r="M362" s="448" t="s">
        <v>6939</v>
      </c>
      <c r="N362" s="448" t="s">
        <v>6940</v>
      </c>
      <c r="O362" s="448" t="s">
        <v>6941</v>
      </c>
      <c r="P362" s="448" t="s">
        <v>6942</v>
      </c>
      <c r="Q362" s="448" t="s">
        <v>6943</v>
      </c>
      <c r="R362" s="448" t="s">
        <v>6939</v>
      </c>
      <c r="S362" s="448" t="s">
        <v>6940</v>
      </c>
      <c r="T362" s="448" t="s">
        <v>6944</v>
      </c>
      <c r="U362" s="448" t="s">
        <v>6945</v>
      </c>
      <c r="V362" s="448" t="s">
        <v>6946</v>
      </c>
    </row>
    <row r="363" spans="1:22">
      <c r="A363" s="448">
        <v>363</v>
      </c>
      <c r="B363" s="448" t="str">
        <f t="shared" si="5"/>
        <v>Trad363</v>
      </c>
      <c r="C363" s="449" t="s">
        <v>6947</v>
      </c>
      <c r="D363" s="448" t="s">
        <v>6948</v>
      </c>
      <c r="E363" s="448" t="s">
        <v>6949</v>
      </c>
      <c r="F363" s="448" t="s">
        <v>6950</v>
      </c>
      <c r="G363" s="448" t="s">
        <v>6951</v>
      </c>
      <c r="H363" s="448" t="s">
        <v>6949</v>
      </c>
      <c r="I363" s="448" t="s">
        <v>6952</v>
      </c>
      <c r="J363" s="451" t="s">
        <v>6953</v>
      </c>
      <c r="K363" s="448" t="s">
        <v>6954</v>
      </c>
      <c r="L363" s="448" t="s">
        <v>6955</v>
      </c>
      <c r="M363" s="448" t="s">
        <v>6947</v>
      </c>
      <c r="N363" s="448" t="s">
        <v>6956</v>
      </c>
      <c r="O363" s="448" t="s">
        <v>6957</v>
      </c>
      <c r="P363" s="448" t="s">
        <v>6958</v>
      </c>
      <c r="Q363" s="448" t="s">
        <v>6959</v>
      </c>
      <c r="R363" s="448" t="s">
        <v>6947</v>
      </c>
      <c r="S363" s="448" t="s">
        <v>6960</v>
      </c>
      <c r="T363" s="448" t="s">
        <v>6961</v>
      </c>
      <c r="U363" s="448" t="s">
        <v>6962</v>
      </c>
      <c r="V363" s="448" t="s">
        <v>6963</v>
      </c>
    </row>
    <row r="364" spans="1:22">
      <c r="A364" s="448">
        <v>364</v>
      </c>
      <c r="B364" s="448" t="str">
        <f t="shared" si="5"/>
        <v>Trad364</v>
      </c>
      <c r="C364" s="449" t="s">
        <v>6964</v>
      </c>
      <c r="D364" s="448" t="s">
        <v>6965</v>
      </c>
      <c r="E364" s="448" t="s">
        <v>6966</v>
      </c>
      <c r="F364" s="448" t="s">
        <v>6967</v>
      </c>
      <c r="G364" s="448" t="s">
        <v>6968</v>
      </c>
      <c r="H364" s="448" t="s">
        <v>6969</v>
      </c>
      <c r="I364" s="448" t="s">
        <v>6970</v>
      </c>
      <c r="J364" s="451" t="s">
        <v>6971</v>
      </c>
      <c r="K364" s="448" t="s">
        <v>6972</v>
      </c>
      <c r="L364" s="448" t="s">
        <v>6973</v>
      </c>
      <c r="M364" s="448" t="s">
        <v>6974</v>
      </c>
      <c r="N364" s="448" t="s">
        <v>6975</v>
      </c>
      <c r="O364" s="448" t="s">
        <v>6976</v>
      </c>
      <c r="P364" s="448" t="s">
        <v>6977</v>
      </c>
      <c r="Q364" s="448" t="s">
        <v>6978</v>
      </c>
      <c r="R364" s="448" t="s">
        <v>6979</v>
      </c>
      <c r="S364" s="448" t="s">
        <v>6980</v>
      </c>
      <c r="T364" s="448" t="s">
        <v>6981</v>
      </c>
      <c r="U364" s="448" t="s">
        <v>6982</v>
      </c>
      <c r="V364" s="448" t="s">
        <v>6983</v>
      </c>
    </row>
    <row r="365" spans="1:22">
      <c r="A365" s="448">
        <v>365</v>
      </c>
      <c r="B365" s="448" t="str">
        <f t="shared" si="5"/>
        <v>Trad365</v>
      </c>
      <c r="C365" s="449" t="s">
        <v>6984</v>
      </c>
      <c r="D365" s="448" t="s">
        <v>6985</v>
      </c>
      <c r="E365" s="448" t="s">
        <v>6986</v>
      </c>
      <c r="F365" s="448" t="s">
        <v>6987</v>
      </c>
      <c r="G365" s="448" t="s">
        <v>6988</v>
      </c>
      <c r="H365" s="448" t="s">
        <v>6989</v>
      </c>
      <c r="I365" s="448" t="s">
        <v>6990</v>
      </c>
      <c r="J365" s="451" t="s">
        <v>6991</v>
      </c>
      <c r="K365" s="448" t="s">
        <v>6992</v>
      </c>
      <c r="L365" s="448" t="s">
        <v>6993</v>
      </c>
      <c r="M365" s="448" t="s">
        <v>6994</v>
      </c>
      <c r="N365" s="448" t="s">
        <v>6995</v>
      </c>
      <c r="O365" s="448" t="s">
        <v>6996</v>
      </c>
      <c r="P365" s="448" t="s">
        <v>6997</v>
      </c>
      <c r="Q365" s="448" t="s">
        <v>6987</v>
      </c>
      <c r="R365" s="448" t="s">
        <v>6998</v>
      </c>
      <c r="S365" s="448" t="s">
        <v>6999</v>
      </c>
      <c r="T365" s="448" t="s">
        <v>7000</v>
      </c>
      <c r="U365" s="448" t="s">
        <v>7001</v>
      </c>
      <c r="V365" s="448" t="s">
        <v>7002</v>
      </c>
    </row>
    <row r="366" spans="1:22" s="462" customFormat="1">
      <c r="A366" s="462">
        <v>366</v>
      </c>
      <c r="B366" s="462" t="str">
        <f t="shared" si="5"/>
        <v>Trad366</v>
      </c>
      <c r="C366" s="463" t="s">
        <v>7003</v>
      </c>
      <c r="D366" s="462" t="s">
        <v>7004</v>
      </c>
      <c r="E366" s="462" t="s">
        <v>7005</v>
      </c>
      <c r="F366" s="462" t="s">
        <v>7006</v>
      </c>
      <c r="G366" s="462" t="s">
        <v>7007</v>
      </c>
      <c r="H366" s="462" t="s">
        <v>7008</v>
      </c>
      <c r="I366" s="462" t="s">
        <v>7009</v>
      </c>
      <c r="J366" s="462" t="s">
        <v>7010</v>
      </c>
      <c r="K366" s="462" t="s">
        <v>7011</v>
      </c>
      <c r="L366" s="462" t="s">
        <v>7012</v>
      </c>
      <c r="M366" s="462" t="s">
        <v>7013</v>
      </c>
      <c r="N366" s="462" t="s">
        <v>7014</v>
      </c>
      <c r="O366" s="462" t="s">
        <v>7015</v>
      </c>
      <c r="P366" s="462" t="s">
        <v>7016</v>
      </c>
      <c r="Q366" s="462" t="s">
        <v>7017</v>
      </c>
      <c r="R366" s="462" t="s">
        <v>7018</v>
      </c>
      <c r="S366" s="462" t="s">
        <v>7019</v>
      </c>
      <c r="T366" s="462" t="s">
        <v>7020</v>
      </c>
      <c r="U366" s="462" t="s">
        <v>7021</v>
      </c>
      <c r="V366" s="462" t="s">
        <v>7022</v>
      </c>
    </row>
    <row r="367" spans="1:22">
      <c r="A367" s="448">
        <v>367</v>
      </c>
      <c r="B367" s="448" t="str">
        <f t="shared" si="5"/>
        <v>Trad367</v>
      </c>
      <c r="C367" s="449" t="s">
        <v>7023</v>
      </c>
      <c r="D367" s="448" t="s">
        <v>7024</v>
      </c>
      <c r="E367" s="448" t="s">
        <v>7025</v>
      </c>
      <c r="F367" s="448" t="s">
        <v>7026</v>
      </c>
      <c r="G367" s="448" t="s">
        <v>7027</v>
      </c>
      <c r="H367" s="448" t="s">
        <v>7028</v>
      </c>
      <c r="I367" s="448" t="s">
        <v>7029</v>
      </c>
      <c r="J367" s="448" t="s">
        <v>7030</v>
      </c>
      <c r="K367" s="448" t="s">
        <v>7031</v>
      </c>
      <c r="L367" s="448" t="s">
        <v>7032</v>
      </c>
      <c r="M367" s="448" t="s">
        <v>7033</v>
      </c>
      <c r="N367" s="448" t="s">
        <v>7034</v>
      </c>
      <c r="O367" s="448" t="s">
        <v>7035</v>
      </c>
      <c r="P367" s="448" t="s">
        <v>7036</v>
      </c>
      <c r="Q367" s="448" t="s">
        <v>7037</v>
      </c>
      <c r="R367" s="448" t="s">
        <v>7038</v>
      </c>
      <c r="S367" s="448" t="s">
        <v>7039</v>
      </c>
      <c r="T367" s="448" t="s">
        <v>7040</v>
      </c>
      <c r="U367" s="448" t="s">
        <v>7041</v>
      </c>
      <c r="V367" s="448" t="s">
        <v>7042</v>
      </c>
    </row>
    <row r="368" spans="1:22">
      <c r="A368" s="448">
        <v>368</v>
      </c>
      <c r="B368" s="448" t="str">
        <f t="shared" si="5"/>
        <v>Trad368</v>
      </c>
      <c r="C368" s="449" t="s">
        <v>7043</v>
      </c>
      <c r="D368" s="448" t="s">
        <v>7044</v>
      </c>
      <c r="E368" s="448" t="s">
        <v>6986</v>
      </c>
      <c r="F368" s="448" t="s">
        <v>7045</v>
      </c>
      <c r="G368" s="448" t="s">
        <v>7046</v>
      </c>
      <c r="H368" s="448" t="s">
        <v>6989</v>
      </c>
      <c r="I368" s="448" t="s">
        <v>7047</v>
      </c>
      <c r="J368" s="448" t="s">
        <v>7048</v>
      </c>
      <c r="K368" s="448" t="s">
        <v>7049</v>
      </c>
      <c r="L368" s="448" t="s">
        <v>7050</v>
      </c>
      <c r="M368" s="448" t="s">
        <v>7051</v>
      </c>
      <c r="N368" s="448" t="s">
        <v>7052</v>
      </c>
      <c r="O368" s="448" t="s">
        <v>7053</v>
      </c>
      <c r="P368" s="448" t="s">
        <v>7054</v>
      </c>
      <c r="Q368" s="448" t="s">
        <v>7055</v>
      </c>
      <c r="R368" s="448" t="s">
        <v>7056</v>
      </c>
      <c r="S368" s="448" t="s">
        <v>7057</v>
      </c>
      <c r="T368" s="448" t="s">
        <v>7058</v>
      </c>
      <c r="U368" s="448" t="s">
        <v>7059</v>
      </c>
      <c r="V368" s="448" t="s">
        <v>7060</v>
      </c>
    </row>
    <row r="369" spans="1:22">
      <c r="A369" s="448">
        <v>369</v>
      </c>
      <c r="B369" s="448" t="str">
        <f t="shared" si="5"/>
        <v>Trad369</v>
      </c>
      <c r="C369" s="449" t="s">
        <v>7061</v>
      </c>
      <c r="D369" s="448" t="s">
        <v>7062</v>
      </c>
      <c r="E369" s="448" t="s">
        <v>7062</v>
      </c>
      <c r="F369" s="448" t="s">
        <v>7062</v>
      </c>
      <c r="G369" s="448" t="s">
        <v>7062</v>
      </c>
      <c r="H369" s="448" t="s">
        <v>7062</v>
      </c>
      <c r="I369" s="448" t="s">
        <v>7062</v>
      </c>
      <c r="J369" s="451" t="s">
        <v>7062</v>
      </c>
      <c r="K369" s="448" t="s">
        <v>7062</v>
      </c>
      <c r="L369" s="448" t="s">
        <v>7062</v>
      </c>
      <c r="M369" s="448" t="s">
        <v>7062</v>
      </c>
      <c r="N369" s="448" t="s">
        <v>7062</v>
      </c>
      <c r="O369" s="448" t="s">
        <v>7062</v>
      </c>
      <c r="P369" s="448" t="s">
        <v>7062</v>
      </c>
      <c r="Q369" s="448" t="s">
        <v>7062</v>
      </c>
      <c r="R369" s="448" t="s">
        <v>7062</v>
      </c>
      <c r="S369" s="448" t="s">
        <v>7062</v>
      </c>
      <c r="T369" s="448" t="s">
        <v>7062</v>
      </c>
      <c r="U369" s="448" t="s">
        <v>7062</v>
      </c>
      <c r="V369" s="448" t="s">
        <v>7062</v>
      </c>
    </row>
    <row r="370" spans="1:22">
      <c r="A370" s="448">
        <v>370</v>
      </c>
      <c r="B370" s="448" t="str">
        <f t="shared" si="5"/>
        <v>Trad370</v>
      </c>
      <c r="C370" s="449" t="s">
        <v>7063</v>
      </c>
      <c r="D370" s="448" t="s">
        <v>7064</v>
      </c>
      <c r="E370" s="448" t="s">
        <v>7064</v>
      </c>
      <c r="F370" s="448" t="s">
        <v>7064</v>
      </c>
      <c r="G370" s="448" t="s">
        <v>7064</v>
      </c>
      <c r="H370" s="448" t="s">
        <v>7064</v>
      </c>
      <c r="I370" s="448" t="s">
        <v>7064</v>
      </c>
      <c r="J370" s="451" t="s">
        <v>7064</v>
      </c>
      <c r="K370" s="448" t="s">
        <v>7064</v>
      </c>
      <c r="L370" s="448" t="s">
        <v>7064</v>
      </c>
      <c r="M370" s="448" t="s">
        <v>7064</v>
      </c>
      <c r="N370" s="448" t="s">
        <v>7064</v>
      </c>
      <c r="O370" s="448" t="s">
        <v>7064</v>
      </c>
      <c r="P370" s="448" t="s">
        <v>7064</v>
      </c>
      <c r="Q370" s="448" t="s">
        <v>7064</v>
      </c>
      <c r="R370" s="448" t="s">
        <v>7064</v>
      </c>
      <c r="S370" s="448" t="s">
        <v>7064</v>
      </c>
      <c r="T370" s="448" t="s">
        <v>7064</v>
      </c>
      <c r="U370" s="448" t="s">
        <v>7064</v>
      </c>
      <c r="V370" s="448" t="s">
        <v>7064</v>
      </c>
    </row>
    <row r="371" spans="1:22">
      <c r="A371" s="448">
        <v>371</v>
      </c>
      <c r="B371" s="448" t="str">
        <f t="shared" si="5"/>
        <v>Trad371</v>
      </c>
      <c r="C371" s="449" t="s">
        <v>7065</v>
      </c>
      <c r="D371" s="448" t="s">
        <v>7066</v>
      </c>
      <c r="E371" s="448" t="s">
        <v>7066</v>
      </c>
      <c r="F371" s="448" t="s">
        <v>7066</v>
      </c>
      <c r="G371" s="448" t="s">
        <v>7066</v>
      </c>
      <c r="H371" s="448" t="s">
        <v>7066</v>
      </c>
      <c r="I371" s="448" t="s">
        <v>7066</v>
      </c>
      <c r="J371" s="451" t="s">
        <v>7066</v>
      </c>
      <c r="K371" s="448" t="s">
        <v>7066</v>
      </c>
      <c r="L371" s="448" t="s">
        <v>7066</v>
      </c>
      <c r="M371" s="448" t="s">
        <v>7066</v>
      </c>
      <c r="N371" s="448" t="s">
        <v>7066</v>
      </c>
      <c r="O371" s="448" t="s">
        <v>7066</v>
      </c>
      <c r="P371" s="448" t="s">
        <v>7066</v>
      </c>
      <c r="Q371" s="448" t="s">
        <v>7066</v>
      </c>
      <c r="R371" s="448" t="s">
        <v>7066</v>
      </c>
      <c r="S371" s="448" t="s">
        <v>7066</v>
      </c>
      <c r="T371" s="448" t="s">
        <v>7066</v>
      </c>
      <c r="U371" s="448" t="s">
        <v>7066</v>
      </c>
      <c r="V371" s="448" t="s">
        <v>7066</v>
      </c>
    </row>
    <row r="372" spans="1:22">
      <c r="A372" s="448">
        <v>372</v>
      </c>
      <c r="B372" s="448" t="str">
        <f t="shared" si="5"/>
        <v>Trad372</v>
      </c>
      <c r="C372" s="449" t="s">
        <v>7067</v>
      </c>
      <c r="D372" s="448" t="s">
        <v>7068</v>
      </c>
      <c r="E372" s="448" t="s">
        <v>7068</v>
      </c>
      <c r="F372" s="448" t="s">
        <v>7068</v>
      </c>
      <c r="G372" s="448" t="s">
        <v>7068</v>
      </c>
      <c r="H372" s="448" t="s">
        <v>7068</v>
      </c>
      <c r="I372" s="448" t="s">
        <v>7068</v>
      </c>
      <c r="J372" s="448" t="s">
        <v>7068</v>
      </c>
      <c r="K372" s="448" t="s">
        <v>7068</v>
      </c>
      <c r="L372" s="448" t="s">
        <v>7068</v>
      </c>
      <c r="M372" s="448" t="s">
        <v>7068</v>
      </c>
      <c r="N372" s="448" t="s">
        <v>7068</v>
      </c>
      <c r="O372" s="448" t="s">
        <v>7068</v>
      </c>
      <c r="P372" s="448" t="s">
        <v>7068</v>
      </c>
      <c r="Q372" s="448" t="s">
        <v>7068</v>
      </c>
      <c r="R372" s="448" t="s">
        <v>7068</v>
      </c>
      <c r="S372" s="448" t="s">
        <v>7068</v>
      </c>
      <c r="T372" s="448" t="s">
        <v>7068</v>
      </c>
      <c r="U372" s="448" t="s">
        <v>7068</v>
      </c>
      <c r="V372" s="448" t="s">
        <v>7068</v>
      </c>
    </row>
    <row r="373" spans="1:22">
      <c r="A373" s="448">
        <v>373</v>
      </c>
      <c r="B373" s="448" t="str">
        <f t="shared" si="5"/>
        <v>Trad373</v>
      </c>
      <c r="C373" s="449" t="s">
        <v>7069</v>
      </c>
      <c r="D373" s="448" t="s">
        <v>7070</v>
      </c>
      <c r="E373" s="448" t="s">
        <v>7070</v>
      </c>
      <c r="F373" s="448" t="s">
        <v>7070</v>
      </c>
      <c r="G373" s="448" t="s">
        <v>7070</v>
      </c>
      <c r="H373" s="448" t="s">
        <v>7070</v>
      </c>
      <c r="I373" s="448" t="s">
        <v>7070</v>
      </c>
      <c r="J373" s="448" t="s">
        <v>7070</v>
      </c>
      <c r="K373" s="448" t="s">
        <v>7070</v>
      </c>
      <c r="L373" s="448" t="s">
        <v>7070</v>
      </c>
      <c r="M373" s="448" t="s">
        <v>7070</v>
      </c>
      <c r="N373" s="448" t="s">
        <v>7070</v>
      </c>
      <c r="O373" s="448" t="s">
        <v>7070</v>
      </c>
      <c r="P373" s="448" t="s">
        <v>7070</v>
      </c>
      <c r="Q373" s="448" t="s">
        <v>7070</v>
      </c>
      <c r="R373" s="448" t="s">
        <v>7070</v>
      </c>
      <c r="S373" s="448" t="s">
        <v>7070</v>
      </c>
      <c r="T373" s="448" t="s">
        <v>7070</v>
      </c>
      <c r="U373" s="448" t="s">
        <v>7070</v>
      </c>
      <c r="V373" s="448" t="s">
        <v>7070</v>
      </c>
    </row>
    <row r="374" spans="1:22">
      <c r="A374" s="448">
        <v>374</v>
      </c>
      <c r="B374" s="448" t="str">
        <f t="shared" si="5"/>
        <v>Trad374</v>
      </c>
      <c r="C374" s="449">
        <v>0</v>
      </c>
    </row>
    <row r="375" spans="1:22">
      <c r="A375" s="448">
        <v>375</v>
      </c>
      <c r="B375" s="448" t="str">
        <f t="shared" si="5"/>
        <v>Trad375</v>
      </c>
      <c r="C375" s="449">
        <v>0</v>
      </c>
    </row>
    <row r="376" spans="1:22">
      <c r="A376" s="448">
        <v>376</v>
      </c>
      <c r="B376" s="448" t="str">
        <f t="shared" si="5"/>
        <v>Trad376</v>
      </c>
      <c r="C376" s="449">
        <v>0</v>
      </c>
    </row>
    <row r="377" spans="1:22">
      <c r="A377" s="448">
        <v>377</v>
      </c>
      <c r="B377" s="448" t="str">
        <f t="shared" si="5"/>
        <v>Trad377</v>
      </c>
      <c r="C377" s="449">
        <v>0</v>
      </c>
    </row>
    <row r="378" spans="1:22">
      <c r="A378" s="448">
        <v>378</v>
      </c>
      <c r="B378" s="448" t="str">
        <f t="shared" si="5"/>
        <v>Trad378</v>
      </c>
      <c r="C378" s="449">
        <v>0</v>
      </c>
    </row>
    <row r="379" spans="1:22">
      <c r="A379" s="448">
        <v>379</v>
      </c>
      <c r="B379" s="448" t="str">
        <f t="shared" si="5"/>
        <v>Trad379</v>
      </c>
      <c r="C379" s="449">
        <v>0</v>
      </c>
    </row>
    <row r="380" spans="1:22">
      <c r="A380" s="448">
        <v>380</v>
      </c>
      <c r="B380" s="448" t="str">
        <f t="shared" si="5"/>
        <v>Trad380</v>
      </c>
      <c r="C380" s="449">
        <v>0</v>
      </c>
    </row>
    <row r="381" spans="1:22">
      <c r="A381" s="448">
        <v>381</v>
      </c>
      <c r="B381" s="448" t="str">
        <f t="shared" si="5"/>
        <v>Trad381</v>
      </c>
      <c r="C381" s="449">
        <v>0</v>
      </c>
    </row>
    <row r="382" spans="1:22">
      <c r="A382" s="448">
        <v>382</v>
      </c>
      <c r="B382" s="448" t="str">
        <f t="shared" si="5"/>
        <v>Trad382</v>
      </c>
      <c r="C382" s="449">
        <v>0</v>
      </c>
    </row>
    <row r="383" spans="1:22">
      <c r="A383" s="448">
        <v>383</v>
      </c>
      <c r="B383" s="448" t="str">
        <f t="shared" si="5"/>
        <v>Trad383</v>
      </c>
      <c r="C383" s="449">
        <v>0</v>
      </c>
    </row>
    <row r="384" spans="1:22">
      <c r="A384" s="448">
        <v>384</v>
      </c>
      <c r="B384" s="448" t="str">
        <f t="shared" si="5"/>
        <v>Trad384</v>
      </c>
      <c r="C384" s="449">
        <v>0</v>
      </c>
    </row>
    <row r="385" spans="1:3">
      <c r="A385" s="448">
        <v>385</v>
      </c>
      <c r="B385" s="448" t="str">
        <f t="shared" si="5"/>
        <v>Trad385</v>
      </c>
      <c r="C385" s="449">
        <v>0</v>
      </c>
    </row>
    <row r="386" spans="1:3">
      <c r="A386" s="448">
        <v>386</v>
      </c>
      <c r="B386" s="448" t="str">
        <f t="shared" ref="B386:B449" si="6">+_xlfn.CONCAT("Trad",A386)</f>
        <v>Trad386</v>
      </c>
      <c r="C386" s="449">
        <v>0</v>
      </c>
    </row>
    <row r="387" spans="1:3">
      <c r="A387" s="448">
        <v>387</v>
      </c>
      <c r="B387" s="448" t="str">
        <f t="shared" si="6"/>
        <v>Trad387</v>
      </c>
      <c r="C387" s="449">
        <v>0</v>
      </c>
    </row>
    <row r="388" spans="1:3">
      <c r="A388" s="448">
        <v>388</v>
      </c>
      <c r="B388" s="448" t="str">
        <f t="shared" si="6"/>
        <v>Trad388</v>
      </c>
      <c r="C388" s="449">
        <v>0</v>
      </c>
    </row>
    <row r="389" spans="1:3">
      <c r="A389" s="448">
        <v>389</v>
      </c>
      <c r="B389" s="448" t="str">
        <f t="shared" si="6"/>
        <v>Trad389</v>
      </c>
      <c r="C389" s="449">
        <v>0</v>
      </c>
    </row>
    <row r="390" spans="1:3">
      <c r="A390" s="448">
        <v>390</v>
      </c>
      <c r="B390" s="448" t="str">
        <f t="shared" si="6"/>
        <v>Trad390</v>
      </c>
      <c r="C390" s="449">
        <v>0</v>
      </c>
    </row>
    <row r="391" spans="1:3">
      <c r="A391" s="448">
        <v>391</v>
      </c>
      <c r="B391" s="448" t="str">
        <f t="shared" si="6"/>
        <v>Trad391</v>
      </c>
      <c r="C391" s="449">
        <v>0</v>
      </c>
    </row>
    <row r="392" spans="1:3">
      <c r="A392" s="448">
        <v>392</v>
      </c>
      <c r="B392" s="448" t="str">
        <f t="shared" si="6"/>
        <v>Trad392</v>
      </c>
      <c r="C392" s="449">
        <v>0</v>
      </c>
    </row>
    <row r="393" spans="1:3">
      <c r="A393" s="448">
        <v>393</v>
      </c>
      <c r="B393" s="448" t="str">
        <f t="shared" si="6"/>
        <v>Trad393</v>
      </c>
      <c r="C393" s="449">
        <v>0</v>
      </c>
    </row>
    <row r="394" spans="1:3">
      <c r="A394" s="448">
        <v>394</v>
      </c>
      <c r="B394" s="448" t="str">
        <f t="shared" si="6"/>
        <v>Trad394</v>
      </c>
      <c r="C394" s="449">
        <v>0</v>
      </c>
    </row>
    <row r="395" spans="1:3">
      <c r="A395" s="448">
        <v>395</v>
      </c>
      <c r="B395" s="448" t="str">
        <f t="shared" si="6"/>
        <v>Trad395</v>
      </c>
      <c r="C395" s="449">
        <v>0</v>
      </c>
    </row>
    <row r="396" spans="1:3">
      <c r="A396" s="448">
        <v>396</v>
      </c>
      <c r="B396" s="448" t="str">
        <f t="shared" si="6"/>
        <v>Trad396</v>
      </c>
      <c r="C396" s="449">
        <v>0</v>
      </c>
    </row>
    <row r="397" spans="1:3">
      <c r="A397" s="448">
        <v>397</v>
      </c>
      <c r="B397" s="448" t="str">
        <f t="shared" si="6"/>
        <v>Trad397</v>
      </c>
      <c r="C397" s="449">
        <v>0</v>
      </c>
    </row>
    <row r="398" spans="1:3">
      <c r="A398" s="448">
        <v>398</v>
      </c>
      <c r="B398" s="448" t="str">
        <f t="shared" si="6"/>
        <v>Trad398</v>
      </c>
      <c r="C398" s="449">
        <v>0</v>
      </c>
    </row>
    <row r="399" spans="1:3">
      <c r="A399" s="448">
        <v>399</v>
      </c>
      <c r="B399" s="448" t="str">
        <f t="shared" si="6"/>
        <v>Trad399</v>
      </c>
      <c r="C399" s="449">
        <v>0</v>
      </c>
    </row>
    <row r="400" spans="1:3">
      <c r="A400" s="448">
        <v>400</v>
      </c>
      <c r="B400" s="448" t="str">
        <f t="shared" si="6"/>
        <v>Trad400</v>
      </c>
      <c r="C400" s="449">
        <v>0</v>
      </c>
    </row>
    <row r="401" spans="1:3">
      <c r="A401" s="448">
        <v>401</v>
      </c>
      <c r="B401" s="448" t="str">
        <f t="shared" si="6"/>
        <v>Trad401</v>
      </c>
      <c r="C401" s="449">
        <v>0</v>
      </c>
    </row>
    <row r="402" spans="1:3">
      <c r="A402" s="448">
        <v>402</v>
      </c>
      <c r="B402" s="448" t="str">
        <f t="shared" si="6"/>
        <v>Trad402</v>
      </c>
      <c r="C402" s="449">
        <v>0</v>
      </c>
    </row>
    <row r="403" spans="1:3">
      <c r="A403" s="448">
        <v>403</v>
      </c>
      <c r="B403" s="448" t="str">
        <f t="shared" si="6"/>
        <v>Trad403</v>
      </c>
      <c r="C403" s="449">
        <v>0</v>
      </c>
    </row>
    <row r="404" spans="1:3">
      <c r="A404" s="448">
        <v>404</v>
      </c>
      <c r="B404" s="448" t="str">
        <f t="shared" si="6"/>
        <v>Trad404</v>
      </c>
      <c r="C404" s="449">
        <v>0</v>
      </c>
    </row>
    <row r="405" spans="1:3">
      <c r="A405" s="448">
        <v>405</v>
      </c>
      <c r="B405" s="448" t="str">
        <f t="shared" si="6"/>
        <v>Trad405</v>
      </c>
      <c r="C405" s="449">
        <v>0</v>
      </c>
    </row>
    <row r="406" spans="1:3">
      <c r="A406" s="448">
        <v>406</v>
      </c>
      <c r="B406" s="448" t="str">
        <f t="shared" si="6"/>
        <v>Trad406</v>
      </c>
      <c r="C406" s="449">
        <v>0</v>
      </c>
    </row>
    <row r="407" spans="1:3">
      <c r="A407" s="448">
        <v>407</v>
      </c>
      <c r="B407" s="448" t="str">
        <f t="shared" si="6"/>
        <v>Trad407</v>
      </c>
      <c r="C407" s="449">
        <v>0</v>
      </c>
    </row>
    <row r="408" spans="1:3">
      <c r="A408" s="448">
        <v>408</v>
      </c>
      <c r="B408" s="448" t="str">
        <f t="shared" si="6"/>
        <v>Trad408</v>
      </c>
      <c r="C408" s="449">
        <v>0</v>
      </c>
    </row>
    <row r="409" spans="1:3">
      <c r="A409" s="448">
        <v>409</v>
      </c>
      <c r="B409" s="448" t="str">
        <f t="shared" si="6"/>
        <v>Trad409</v>
      </c>
      <c r="C409" s="449">
        <v>0</v>
      </c>
    </row>
    <row r="410" spans="1:3">
      <c r="A410" s="448">
        <v>410</v>
      </c>
      <c r="B410" s="448" t="str">
        <f t="shared" si="6"/>
        <v>Trad410</v>
      </c>
      <c r="C410" s="449">
        <v>0</v>
      </c>
    </row>
    <row r="411" spans="1:3">
      <c r="A411" s="448">
        <v>411</v>
      </c>
      <c r="B411" s="448" t="str">
        <f t="shared" si="6"/>
        <v>Trad411</v>
      </c>
      <c r="C411" s="449">
        <v>0</v>
      </c>
    </row>
    <row r="412" spans="1:3">
      <c r="A412" s="448">
        <v>412</v>
      </c>
      <c r="B412" s="448" t="str">
        <f t="shared" si="6"/>
        <v>Trad412</v>
      </c>
      <c r="C412" s="449">
        <v>0</v>
      </c>
    </row>
    <row r="413" spans="1:3">
      <c r="A413" s="448">
        <v>413</v>
      </c>
      <c r="B413" s="448" t="str">
        <f t="shared" si="6"/>
        <v>Trad413</v>
      </c>
      <c r="C413" s="449">
        <v>0</v>
      </c>
    </row>
    <row r="414" spans="1:3">
      <c r="A414" s="448">
        <v>414</v>
      </c>
      <c r="B414" s="448" t="str">
        <f t="shared" si="6"/>
        <v>Trad414</v>
      </c>
      <c r="C414" s="449">
        <v>0</v>
      </c>
    </row>
    <row r="415" spans="1:3">
      <c r="A415" s="448">
        <v>415</v>
      </c>
      <c r="B415" s="448" t="str">
        <f t="shared" si="6"/>
        <v>Trad415</v>
      </c>
      <c r="C415" s="449">
        <v>0</v>
      </c>
    </row>
    <row r="416" spans="1:3">
      <c r="A416" s="448">
        <v>416</v>
      </c>
      <c r="B416" s="448" t="str">
        <f t="shared" si="6"/>
        <v>Trad416</v>
      </c>
      <c r="C416" s="449">
        <v>0</v>
      </c>
    </row>
    <row r="417" spans="1:3">
      <c r="A417" s="448">
        <v>417</v>
      </c>
      <c r="B417" s="448" t="str">
        <f t="shared" si="6"/>
        <v>Trad417</v>
      </c>
      <c r="C417" s="449">
        <v>0</v>
      </c>
    </row>
    <row r="418" spans="1:3">
      <c r="A418" s="448">
        <v>418</v>
      </c>
      <c r="B418" s="448" t="str">
        <f t="shared" si="6"/>
        <v>Trad418</v>
      </c>
      <c r="C418" s="449">
        <v>0</v>
      </c>
    </row>
    <row r="419" spans="1:3">
      <c r="A419" s="448">
        <v>419</v>
      </c>
      <c r="B419" s="448" t="str">
        <f t="shared" si="6"/>
        <v>Trad419</v>
      </c>
      <c r="C419" s="449">
        <v>0</v>
      </c>
    </row>
    <row r="420" spans="1:3">
      <c r="A420" s="448">
        <v>420</v>
      </c>
      <c r="B420" s="448" t="str">
        <f t="shared" si="6"/>
        <v>Trad420</v>
      </c>
      <c r="C420" s="449">
        <v>0</v>
      </c>
    </row>
    <row r="421" spans="1:3">
      <c r="A421" s="448">
        <v>421</v>
      </c>
      <c r="B421" s="448" t="str">
        <f t="shared" si="6"/>
        <v>Trad421</v>
      </c>
      <c r="C421" s="449">
        <v>0</v>
      </c>
    </row>
    <row r="422" spans="1:3">
      <c r="A422" s="448">
        <v>422</v>
      </c>
      <c r="B422" s="448" t="str">
        <f t="shared" si="6"/>
        <v>Trad422</v>
      </c>
      <c r="C422" s="449">
        <v>0</v>
      </c>
    </row>
    <row r="423" spans="1:3">
      <c r="A423" s="448">
        <v>423</v>
      </c>
      <c r="B423" s="448" t="str">
        <f t="shared" si="6"/>
        <v>Trad423</v>
      </c>
      <c r="C423" s="449">
        <v>0</v>
      </c>
    </row>
    <row r="424" spans="1:3">
      <c r="A424" s="448">
        <v>424</v>
      </c>
      <c r="B424" s="448" t="str">
        <f t="shared" si="6"/>
        <v>Trad424</v>
      </c>
      <c r="C424" s="449">
        <v>0</v>
      </c>
    </row>
    <row r="425" spans="1:3">
      <c r="A425" s="448">
        <v>425</v>
      </c>
      <c r="B425" s="448" t="str">
        <f t="shared" si="6"/>
        <v>Trad425</v>
      </c>
      <c r="C425" s="449">
        <v>0</v>
      </c>
    </row>
    <row r="426" spans="1:3">
      <c r="A426" s="448">
        <v>426</v>
      </c>
      <c r="B426" s="448" t="str">
        <f t="shared" si="6"/>
        <v>Trad426</v>
      </c>
      <c r="C426" s="449">
        <v>0</v>
      </c>
    </row>
    <row r="427" spans="1:3">
      <c r="A427" s="448">
        <v>427</v>
      </c>
      <c r="B427" s="448" t="str">
        <f t="shared" si="6"/>
        <v>Trad427</v>
      </c>
      <c r="C427" s="449">
        <v>0</v>
      </c>
    </row>
    <row r="428" spans="1:3">
      <c r="A428" s="448">
        <v>428</v>
      </c>
      <c r="B428" s="448" t="str">
        <f t="shared" si="6"/>
        <v>Trad428</v>
      </c>
      <c r="C428" s="449">
        <v>0</v>
      </c>
    </row>
    <row r="429" spans="1:3">
      <c r="A429" s="448">
        <v>429</v>
      </c>
      <c r="B429" s="448" t="str">
        <f t="shared" si="6"/>
        <v>Trad429</v>
      </c>
      <c r="C429" s="449">
        <v>0</v>
      </c>
    </row>
    <row r="430" spans="1:3">
      <c r="A430" s="448">
        <v>430</v>
      </c>
      <c r="B430" s="448" t="str">
        <f t="shared" si="6"/>
        <v>Trad430</v>
      </c>
      <c r="C430" s="449">
        <v>0</v>
      </c>
    </row>
    <row r="431" spans="1:3">
      <c r="A431" s="448">
        <v>431</v>
      </c>
      <c r="B431" s="448" t="str">
        <f t="shared" si="6"/>
        <v>Trad431</v>
      </c>
      <c r="C431" s="449">
        <v>0</v>
      </c>
    </row>
    <row r="432" spans="1:3">
      <c r="A432" s="448">
        <v>432</v>
      </c>
      <c r="B432" s="448" t="str">
        <f t="shared" si="6"/>
        <v>Trad432</v>
      </c>
      <c r="C432" s="449">
        <v>0</v>
      </c>
    </row>
    <row r="433" spans="1:3">
      <c r="A433" s="448">
        <v>433</v>
      </c>
      <c r="B433" s="448" t="str">
        <f t="shared" si="6"/>
        <v>Trad433</v>
      </c>
      <c r="C433" s="449">
        <v>0</v>
      </c>
    </row>
    <row r="434" spans="1:3">
      <c r="A434" s="448">
        <v>434</v>
      </c>
      <c r="B434" s="448" t="str">
        <f t="shared" si="6"/>
        <v>Trad434</v>
      </c>
      <c r="C434" s="449">
        <v>0</v>
      </c>
    </row>
    <row r="435" spans="1:3">
      <c r="A435" s="448">
        <v>435</v>
      </c>
      <c r="B435" s="448" t="str">
        <f t="shared" si="6"/>
        <v>Trad435</v>
      </c>
      <c r="C435" s="449">
        <v>0</v>
      </c>
    </row>
    <row r="436" spans="1:3">
      <c r="A436" s="448">
        <v>436</v>
      </c>
      <c r="B436" s="448" t="str">
        <f t="shared" si="6"/>
        <v>Trad436</v>
      </c>
      <c r="C436" s="449">
        <v>0</v>
      </c>
    </row>
    <row r="437" spans="1:3">
      <c r="A437" s="448">
        <v>437</v>
      </c>
      <c r="B437" s="448" t="str">
        <f t="shared" si="6"/>
        <v>Trad437</v>
      </c>
      <c r="C437" s="449">
        <v>0</v>
      </c>
    </row>
    <row r="438" spans="1:3">
      <c r="A438" s="448">
        <v>438</v>
      </c>
      <c r="B438" s="448" t="str">
        <f t="shared" si="6"/>
        <v>Trad438</v>
      </c>
      <c r="C438" s="449">
        <v>0</v>
      </c>
    </row>
    <row r="439" spans="1:3">
      <c r="A439" s="448">
        <v>439</v>
      </c>
      <c r="B439" s="448" t="str">
        <f t="shared" si="6"/>
        <v>Trad439</v>
      </c>
      <c r="C439" s="449">
        <v>0</v>
      </c>
    </row>
    <row r="440" spans="1:3">
      <c r="A440" s="448">
        <v>440</v>
      </c>
      <c r="B440" s="448" t="str">
        <f t="shared" si="6"/>
        <v>Trad440</v>
      </c>
      <c r="C440" s="449">
        <v>0</v>
      </c>
    </row>
    <row r="441" spans="1:3">
      <c r="A441" s="448">
        <v>441</v>
      </c>
      <c r="B441" s="448" t="str">
        <f t="shared" si="6"/>
        <v>Trad441</v>
      </c>
      <c r="C441" s="449">
        <v>0</v>
      </c>
    </row>
    <row r="442" spans="1:3">
      <c r="A442" s="448">
        <v>442</v>
      </c>
      <c r="B442" s="448" t="str">
        <f t="shared" si="6"/>
        <v>Trad442</v>
      </c>
      <c r="C442" s="449">
        <v>0</v>
      </c>
    </row>
    <row r="443" spans="1:3">
      <c r="A443" s="448">
        <v>443</v>
      </c>
      <c r="B443" s="448" t="str">
        <f t="shared" si="6"/>
        <v>Trad443</v>
      </c>
      <c r="C443" s="449">
        <v>0</v>
      </c>
    </row>
    <row r="444" spans="1:3">
      <c r="A444" s="448">
        <v>444</v>
      </c>
      <c r="B444" s="448" t="str">
        <f t="shared" si="6"/>
        <v>Trad444</v>
      </c>
      <c r="C444" s="449">
        <v>0</v>
      </c>
    </row>
    <row r="445" spans="1:3">
      <c r="A445" s="448">
        <v>445</v>
      </c>
      <c r="B445" s="448" t="str">
        <f t="shared" si="6"/>
        <v>Trad445</v>
      </c>
      <c r="C445" s="449">
        <v>0</v>
      </c>
    </row>
    <row r="446" spans="1:3">
      <c r="A446" s="448">
        <v>446</v>
      </c>
      <c r="B446" s="448" t="str">
        <f t="shared" si="6"/>
        <v>Trad446</v>
      </c>
      <c r="C446" s="449">
        <v>0</v>
      </c>
    </row>
    <row r="447" spans="1:3">
      <c r="A447" s="448">
        <v>447</v>
      </c>
      <c r="B447" s="448" t="str">
        <f t="shared" si="6"/>
        <v>Trad447</v>
      </c>
      <c r="C447" s="449">
        <v>0</v>
      </c>
    </row>
    <row r="448" spans="1:3">
      <c r="A448" s="448">
        <v>448</v>
      </c>
      <c r="B448" s="448" t="str">
        <f t="shared" si="6"/>
        <v>Trad448</v>
      </c>
      <c r="C448" s="449">
        <v>0</v>
      </c>
    </row>
    <row r="449" spans="1:3">
      <c r="A449" s="448">
        <v>449</v>
      </c>
      <c r="B449" s="448" t="str">
        <f t="shared" si="6"/>
        <v>Trad449</v>
      </c>
      <c r="C449" s="449">
        <v>0</v>
      </c>
    </row>
    <row r="450" spans="1:3">
      <c r="A450" s="448">
        <v>450</v>
      </c>
      <c r="B450" s="448" t="str">
        <f t="shared" ref="B450:B513" si="7">+_xlfn.CONCAT("Trad",A450)</f>
        <v>Trad450</v>
      </c>
      <c r="C450" s="449">
        <v>0</v>
      </c>
    </row>
    <row r="451" spans="1:3">
      <c r="A451" s="448">
        <v>451</v>
      </c>
      <c r="B451" s="448" t="str">
        <f t="shared" si="7"/>
        <v>Trad451</v>
      </c>
      <c r="C451" s="449">
        <v>0</v>
      </c>
    </row>
    <row r="452" spans="1:3">
      <c r="A452" s="448">
        <v>452</v>
      </c>
      <c r="B452" s="448" t="str">
        <f t="shared" si="7"/>
        <v>Trad452</v>
      </c>
      <c r="C452" s="449">
        <v>0</v>
      </c>
    </row>
    <row r="453" spans="1:3">
      <c r="A453" s="448">
        <v>453</v>
      </c>
      <c r="B453" s="448" t="str">
        <f t="shared" si="7"/>
        <v>Trad453</v>
      </c>
      <c r="C453" s="449">
        <v>0</v>
      </c>
    </row>
    <row r="454" spans="1:3">
      <c r="A454" s="448">
        <v>454</v>
      </c>
      <c r="B454" s="448" t="str">
        <f t="shared" si="7"/>
        <v>Trad454</v>
      </c>
      <c r="C454" s="449">
        <v>0</v>
      </c>
    </row>
    <row r="455" spans="1:3">
      <c r="A455" s="448">
        <v>455</v>
      </c>
      <c r="B455" s="448" t="str">
        <f t="shared" si="7"/>
        <v>Trad455</v>
      </c>
      <c r="C455" s="449">
        <v>0</v>
      </c>
    </row>
    <row r="456" spans="1:3">
      <c r="A456" s="448">
        <v>456</v>
      </c>
      <c r="B456" s="448" t="str">
        <f t="shared" si="7"/>
        <v>Trad456</v>
      </c>
      <c r="C456" s="449">
        <v>0</v>
      </c>
    </row>
    <row r="457" spans="1:3">
      <c r="A457" s="448">
        <v>457</v>
      </c>
      <c r="B457" s="448" t="str">
        <f t="shared" si="7"/>
        <v>Trad457</v>
      </c>
      <c r="C457" s="449">
        <v>0</v>
      </c>
    </row>
    <row r="458" spans="1:3">
      <c r="A458" s="448">
        <v>458</v>
      </c>
      <c r="B458" s="448" t="str">
        <f t="shared" si="7"/>
        <v>Trad458</v>
      </c>
      <c r="C458" s="449">
        <v>0</v>
      </c>
    </row>
    <row r="459" spans="1:3">
      <c r="A459" s="448">
        <v>459</v>
      </c>
      <c r="B459" s="448" t="str">
        <f t="shared" si="7"/>
        <v>Trad459</v>
      </c>
      <c r="C459" s="449">
        <v>0</v>
      </c>
    </row>
    <row r="460" spans="1:3">
      <c r="A460" s="448">
        <v>460</v>
      </c>
      <c r="B460" s="448" t="str">
        <f t="shared" si="7"/>
        <v>Trad460</v>
      </c>
      <c r="C460" s="449">
        <v>0</v>
      </c>
    </row>
    <row r="461" spans="1:3">
      <c r="A461" s="448">
        <v>461</v>
      </c>
      <c r="B461" s="448" t="str">
        <f t="shared" si="7"/>
        <v>Trad461</v>
      </c>
      <c r="C461" s="449">
        <v>0</v>
      </c>
    </row>
    <row r="462" spans="1:3">
      <c r="A462" s="448">
        <v>462</v>
      </c>
      <c r="B462" s="448" t="str">
        <f t="shared" si="7"/>
        <v>Trad462</v>
      </c>
      <c r="C462" s="449">
        <v>0</v>
      </c>
    </row>
    <row r="463" spans="1:3">
      <c r="A463" s="448">
        <v>463</v>
      </c>
      <c r="B463" s="448" t="str">
        <f t="shared" si="7"/>
        <v>Trad463</v>
      </c>
      <c r="C463" s="449">
        <v>0</v>
      </c>
    </row>
    <row r="464" spans="1:3">
      <c r="A464" s="448">
        <v>464</v>
      </c>
      <c r="B464" s="448" t="str">
        <f t="shared" si="7"/>
        <v>Trad464</v>
      </c>
      <c r="C464" s="449">
        <v>0</v>
      </c>
    </row>
    <row r="465" spans="1:3">
      <c r="A465" s="448">
        <v>465</v>
      </c>
      <c r="B465" s="448" t="str">
        <f t="shared" si="7"/>
        <v>Trad465</v>
      </c>
      <c r="C465" s="449">
        <v>0</v>
      </c>
    </row>
    <row r="466" spans="1:3">
      <c r="A466" s="448">
        <v>466</v>
      </c>
      <c r="B466" s="448" t="str">
        <f t="shared" si="7"/>
        <v>Trad466</v>
      </c>
      <c r="C466" s="449">
        <v>0</v>
      </c>
    </row>
    <row r="467" spans="1:3">
      <c r="A467" s="448">
        <v>467</v>
      </c>
      <c r="B467" s="448" t="str">
        <f t="shared" si="7"/>
        <v>Trad467</v>
      </c>
      <c r="C467" s="449">
        <v>0</v>
      </c>
    </row>
    <row r="468" spans="1:3">
      <c r="A468" s="448">
        <v>468</v>
      </c>
      <c r="B468" s="448" t="str">
        <f t="shared" si="7"/>
        <v>Trad468</v>
      </c>
      <c r="C468" s="449">
        <v>0</v>
      </c>
    </row>
    <row r="469" spans="1:3">
      <c r="A469" s="448">
        <v>469</v>
      </c>
      <c r="B469" s="448" t="str">
        <f t="shared" si="7"/>
        <v>Trad469</v>
      </c>
      <c r="C469" s="449">
        <v>0</v>
      </c>
    </row>
    <row r="470" spans="1:3">
      <c r="A470" s="448">
        <v>470</v>
      </c>
      <c r="B470" s="448" t="str">
        <f t="shared" si="7"/>
        <v>Trad470</v>
      </c>
      <c r="C470" s="449">
        <v>0</v>
      </c>
    </row>
    <row r="471" spans="1:3">
      <c r="A471" s="448">
        <v>471</v>
      </c>
      <c r="B471" s="448" t="str">
        <f t="shared" si="7"/>
        <v>Trad471</v>
      </c>
      <c r="C471" s="449">
        <v>0</v>
      </c>
    </row>
    <row r="472" spans="1:3">
      <c r="A472" s="448">
        <v>472</v>
      </c>
      <c r="B472" s="448" t="str">
        <f t="shared" si="7"/>
        <v>Trad472</v>
      </c>
      <c r="C472" s="449">
        <v>0</v>
      </c>
    </row>
    <row r="473" spans="1:3">
      <c r="A473" s="448">
        <v>473</v>
      </c>
      <c r="B473" s="448" t="str">
        <f t="shared" si="7"/>
        <v>Trad473</v>
      </c>
      <c r="C473" s="449">
        <v>0</v>
      </c>
    </row>
    <row r="474" spans="1:3">
      <c r="A474" s="448">
        <v>474</v>
      </c>
      <c r="B474" s="448" t="str">
        <f t="shared" si="7"/>
        <v>Trad474</v>
      </c>
      <c r="C474" s="449">
        <v>0</v>
      </c>
    </row>
    <row r="475" spans="1:3">
      <c r="A475" s="448">
        <v>475</v>
      </c>
      <c r="B475" s="448" t="str">
        <f t="shared" si="7"/>
        <v>Trad475</v>
      </c>
      <c r="C475" s="449">
        <v>0</v>
      </c>
    </row>
    <row r="476" spans="1:3">
      <c r="A476" s="448">
        <v>476</v>
      </c>
      <c r="B476" s="448" t="str">
        <f t="shared" si="7"/>
        <v>Trad476</v>
      </c>
      <c r="C476" s="449">
        <v>0</v>
      </c>
    </row>
    <row r="477" spans="1:3">
      <c r="A477" s="448">
        <v>477</v>
      </c>
      <c r="B477" s="448" t="str">
        <f t="shared" si="7"/>
        <v>Trad477</v>
      </c>
      <c r="C477" s="449">
        <v>0</v>
      </c>
    </row>
    <row r="478" spans="1:3">
      <c r="A478" s="448">
        <v>478</v>
      </c>
      <c r="B478" s="448" t="str">
        <f t="shared" si="7"/>
        <v>Trad478</v>
      </c>
      <c r="C478" s="449">
        <v>0</v>
      </c>
    </row>
    <row r="479" spans="1:3">
      <c r="A479" s="448">
        <v>479</v>
      </c>
      <c r="B479" s="448" t="str">
        <f t="shared" si="7"/>
        <v>Trad479</v>
      </c>
      <c r="C479" s="449">
        <v>0</v>
      </c>
    </row>
    <row r="480" spans="1:3">
      <c r="A480" s="448">
        <v>480</v>
      </c>
      <c r="B480" s="448" t="str">
        <f t="shared" si="7"/>
        <v>Trad480</v>
      </c>
      <c r="C480" s="449">
        <v>0</v>
      </c>
    </row>
    <row r="481" spans="1:3">
      <c r="A481" s="448">
        <v>481</v>
      </c>
      <c r="B481" s="448" t="str">
        <f t="shared" si="7"/>
        <v>Trad481</v>
      </c>
      <c r="C481" s="449">
        <v>0</v>
      </c>
    </row>
    <row r="482" spans="1:3">
      <c r="A482" s="448">
        <v>482</v>
      </c>
      <c r="B482" s="448" t="str">
        <f t="shared" si="7"/>
        <v>Trad482</v>
      </c>
      <c r="C482" s="449">
        <v>0</v>
      </c>
    </row>
    <row r="483" spans="1:3">
      <c r="A483" s="448">
        <v>483</v>
      </c>
      <c r="B483" s="448" t="str">
        <f t="shared" si="7"/>
        <v>Trad483</v>
      </c>
      <c r="C483" s="449">
        <v>0</v>
      </c>
    </row>
    <row r="484" spans="1:3">
      <c r="A484" s="448">
        <v>484</v>
      </c>
      <c r="B484" s="448" t="str">
        <f t="shared" si="7"/>
        <v>Trad484</v>
      </c>
      <c r="C484" s="449">
        <v>0</v>
      </c>
    </row>
    <row r="485" spans="1:3">
      <c r="A485" s="448">
        <v>485</v>
      </c>
      <c r="B485" s="448" t="str">
        <f t="shared" si="7"/>
        <v>Trad485</v>
      </c>
      <c r="C485" s="449">
        <v>0</v>
      </c>
    </row>
    <row r="486" spans="1:3">
      <c r="A486" s="448">
        <v>486</v>
      </c>
      <c r="B486" s="448" t="str">
        <f t="shared" si="7"/>
        <v>Trad486</v>
      </c>
      <c r="C486" s="449">
        <v>0</v>
      </c>
    </row>
    <row r="487" spans="1:3">
      <c r="A487" s="448">
        <v>487</v>
      </c>
      <c r="B487" s="448" t="str">
        <f t="shared" si="7"/>
        <v>Trad487</v>
      </c>
      <c r="C487" s="449">
        <v>0</v>
      </c>
    </row>
    <row r="488" spans="1:3">
      <c r="A488" s="448">
        <v>488</v>
      </c>
      <c r="B488" s="448" t="str">
        <f t="shared" si="7"/>
        <v>Trad488</v>
      </c>
      <c r="C488" s="449">
        <v>0</v>
      </c>
    </row>
    <row r="489" spans="1:3">
      <c r="A489" s="448">
        <v>489</v>
      </c>
      <c r="B489" s="448" t="str">
        <f t="shared" si="7"/>
        <v>Trad489</v>
      </c>
      <c r="C489" s="449">
        <v>0</v>
      </c>
    </row>
    <row r="490" spans="1:3">
      <c r="A490" s="448">
        <v>490</v>
      </c>
      <c r="B490" s="448" t="str">
        <f t="shared" si="7"/>
        <v>Trad490</v>
      </c>
      <c r="C490" s="449">
        <v>0</v>
      </c>
    </row>
    <row r="491" spans="1:3">
      <c r="A491" s="448">
        <v>491</v>
      </c>
      <c r="B491" s="448" t="str">
        <f t="shared" si="7"/>
        <v>Trad491</v>
      </c>
      <c r="C491" s="449">
        <v>0</v>
      </c>
    </row>
    <row r="492" spans="1:3">
      <c r="A492" s="448">
        <v>492</v>
      </c>
      <c r="B492" s="448" t="str">
        <f t="shared" si="7"/>
        <v>Trad492</v>
      </c>
      <c r="C492" s="449">
        <v>0</v>
      </c>
    </row>
    <row r="493" spans="1:3">
      <c r="A493" s="448">
        <v>493</v>
      </c>
      <c r="B493" s="448" t="str">
        <f t="shared" si="7"/>
        <v>Trad493</v>
      </c>
      <c r="C493" s="449">
        <v>0</v>
      </c>
    </row>
    <row r="494" spans="1:3">
      <c r="A494" s="448">
        <v>494</v>
      </c>
      <c r="B494" s="448" t="str">
        <f t="shared" si="7"/>
        <v>Trad494</v>
      </c>
      <c r="C494" s="449">
        <v>0</v>
      </c>
    </row>
    <row r="495" spans="1:3">
      <c r="A495" s="448">
        <v>495</v>
      </c>
      <c r="B495" s="448" t="str">
        <f t="shared" si="7"/>
        <v>Trad495</v>
      </c>
      <c r="C495" s="449">
        <v>0</v>
      </c>
    </row>
    <row r="496" spans="1:3">
      <c r="A496" s="448">
        <v>496</v>
      </c>
      <c r="B496" s="448" t="str">
        <f t="shared" si="7"/>
        <v>Trad496</v>
      </c>
      <c r="C496" s="449">
        <v>0</v>
      </c>
    </row>
    <row r="497" spans="1:3">
      <c r="A497" s="448">
        <v>497</v>
      </c>
      <c r="B497" s="448" t="str">
        <f t="shared" si="7"/>
        <v>Trad497</v>
      </c>
      <c r="C497" s="449">
        <v>0</v>
      </c>
    </row>
    <row r="498" spans="1:3">
      <c r="A498" s="448">
        <v>498</v>
      </c>
      <c r="B498" s="448" t="str">
        <f t="shared" si="7"/>
        <v>Trad498</v>
      </c>
      <c r="C498" s="449">
        <v>0</v>
      </c>
    </row>
    <row r="499" spans="1:3">
      <c r="A499" s="448">
        <v>499</v>
      </c>
      <c r="B499" s="448" t="str">
        <f t="shared" si="7"/>
        <v>Trad499</v>
      </c>
      <c r="C499" s="449">
        <v>0</v>
      </c>
    </row>
    <row r="500" spans="1:3">
      <c r="A500" s="448">
        <v>500</v>
      </c>
      <c r="B500" s="448" t="str">
        <f t="shared" si="7"/>
        <v>Trad500</v>
      </c>
      <c r="C500" s="449">
        <v>0</v>
      </c>
    </row>
    <row r="501" spans="1:3">
      <c r="A501" s="448">
        <v>501</v>
      </c>
      <c r="B501" s="448" t="str">
        <f t="shared" si="7"/>
        <v>Trad501</v>
      </c>
      <c r="C501" s="449">
        <v>0</v>
      </c>
    </row>
    <row r="502" spans="1:3">
      <c r="A502" s="448">
        <v>502</v>
      </c>
      <c r="B502" s="448" t="str">
        <f t="shared" si="7"/>
        <v>Trad502</v>
      </c>
      <c r="C502" s="449">
        <v>0</v>
      </c>
    </row>
    <row r="503" spans="1:3">
      <c r="A503" s="448">
        <v>503</v>
      </c>
      <c r="B503" s="448" t="str">
        <f t="shared" si="7"/>
        <v>Trad503</v>
      </c>
      <c r="C503" s="449">
        <v>0</v>
      </c>
    </row>
    <row r="504" spans="1:3">
      <c r="A504" s="448">
        <v>504</v>
      </c>
      <c r="B504" s="448" t="str">
        <f t="shared" si="7"/>
        <v>Trad504</v>
      </c>
      <c r="C504" s="449">
        <v>0</v>
      </c>
    </row>
    <row r="505" spans="1:3">
      <c r="A505" s="448">
        <v>505</v>
      </c>
      <c r="B505" s="448" t="str">
        <f t="shared" si="7"/>
        <v>Trad505</v>
      </c>
      <c r="C505" s="449">
        <v>0</v>
      </c>
    </row>
    <row r="506" spans="1:3">
      <c r="A506" s="448">
        <v>506</v>
      </c>
      <c r="B506" s="448" t="str">
        <f t="shared" si="7"/>
        <v>Trad506</v>
      </c>
      <c r="C506" s="449">
        <v>0</v>
      </c>
    </row>
    <row r="507" spans="1:3">
      <c r="A507" s="448">
        <v>507</v>
      </c>
      <c r="B507" s="448" t="str">
        <f t="shared" si="7"/>
        <v>Trad507</v>
      </c>
      <c r="C507" s="449">
        <v>0</v>
      </c>
    </row>
    <row r="508" spans="1:3">
      <c r="A508" s="448">
        <v>508</v>
      </c>
      <c r="B508" s="448" t="str">
        <f t="shared" si="7"/>
        <v>Trad508</v>
      </c>
      <c r="C508" s="449">
        <v>0</v>
      </c>
    </row>
    <row r="509" spans="1:3">
      <c r="A509" s="448">
        <v>509</v>
      </c>
      <c r="B509" s="448" t="str">
        <f t="shared" si="7"/>
        <v>Trad509</v>
      </c>
      <c r="C509" s="449">
        <v>0</v>
      </c>
    </row>
    <row r="510" spans="1:3">
      <c r="A510" s="448">
        <v>510</v>
      </c>
      <c r="B510" s="448" t="str">
        <f t="shared" si="7"/>
        <v>Trad510</v>
      </c>
      <c r="C510" s="449">
        <v>0</v>
      </c>
    </row>
    <row r="511" spans="1:3">
      <c r="A511" s="448">
        <v>511</v>
      </c>
      <c r="B511" s="448" t="str">
        <f t="shared" si="7"/>
        <v>Trad511</v>
      </c>
      <c r="C511" s="449">
        <v>0</v>
      </c>
    </row>
    <row r="512" spans="1:3">
      <c r="A512" s="448">
        <v>512</v>
      </c>
      <c r="B512" s="448" t="str">
        <f t="shared" si="7"/>
        <v>Trad512</v>
      </c>
      <c r="C512" s="449">
        <v>0</v>
      </c>
    </row>
    <row r="513" spans="1:3">
      <c r="A513" s="448">
        <v>513</v>
      </c>
      <c r="B513" s="448" t="str">
        <f t="shared" si="7"/>
        <v>Trad513</v>
      </c>
      <c r="C513" s="449">
        <v>0</v>
      </c>
    </row>
    <row r="514" spans="1:3">
      <c r="A514" s="448">
        <v>514</v>
      </c>
      <c r="B514" s="448" t="str">
        <f t="shared" ref="B514:B577" si="8">+_xlfn.CONCAT("Trad",A514)</f>
        <v>Trad514</v>
      </c>
      <c r="C514" s="449">
        <v>0</v>
      </c>
    </row>
    <row r="515" spans="1:3">
      <c r="A515" s="448">
        <v>515</v>
      </c>
      <c r="B515" s="448" t="str">
        <f t="shared" si="8"/>
        <v>Trad515</v>
      </c>
      <c r="C515" s="449">
        <v>0</v>
      </c>
    </row>
    <row r="516" spans="1:3">
      <c r="A516" s="448">
        <v>516</v>
      </c>
      <c r="B516" s="448" t="str">
        <f t="shared" si="8"/>
        <v>Trad516</v>
      </c>
      <c r="C516" s="449">
        <v>0</v>
      </c>
    </row>
    <row r="517" spans="1:3">
      <c r="A517" s="448">
        <v>517</v>
      </c>
      <c r="B517" s="448" t="str">
        <f t="shared" si="8"/>
        <v>Trad517</v>
      </c>
      <c r="C517" s="449">
        <v>0</v>
      </c>
    </row>
    <row r="518" spans="1:3">
      <c r="A518" s="448">
        <v>518</v>
      </c>
      <c r="B518" s="448" t="str">
        <f t="shared" si="8"/>
        <v>Trad518</v>
      </c>
      <c r="C518" s="449">
        <v>0</v>
      </c>
    </row>
    <row r="519" spans="1:3">
      <c r="A519" s="448">
        <v>519</v>
      </c>
      <c r="B519" s="448" t="str">
        <f t="shared" si="8"/>
        <v>Trad519</v>
      </c>
      <c r="C519" s="449">
        <v>0</v>
      </c>
    </row>
    <row r="520" spans="1:3">
      <c r="A520" s="448">
        <v>520</v>
      </c>
      <c r="B520" s="448" t="str">
        <f t="shared" si="8"/>
        <v>Trad520</v>
      </c>
      <c r="C520" s="449">
        <v>0</v>
      </c>
    </row>
    <row r="521" spans="1:3">
      <c r="A521" s="448">
        <v>521</v>
      </c>
      <c r="B521" s="448" t="str">
        <f t="shared" si="8"/>
        <v>Trad521</v>
      </c>
      <c r="C521" s="449">
        <v>0</v>
      </c>
    </row>
    <row r="522" spans="1:3">
      <c r="A522" s="448">
        <v>522</v>
      </c>
      <c r="B522" s="448" t="str">
        <f t="shared" si="8"/>
        <v>Trad522</v>
      </c>
      <c r="C522" s="449">
        <v>0</v>
      </c>
    </row>
    <row r="523" spans="1:3">
      <c r="A523" s="448">
        <v>523</v>
      </c>
      <c r="B523" s="448" t="str">
        <f t="shared" si="8"/>
        <v>Trad523</v>
      </c>
      <c r="C523" s="449">
        <v>0</v>
      </c>
    </row>
    <row r="524" spans="1:3">
      <c r="A524" s="448">
        <v>524</v>
      </c>
      <c r="B524" s="448" t="str">
        <f t="shared" si="8"/>
        <v>Trad524</v>
      </c>
      <c r="C524" s="449">
        <v>0</v>
      </c>
    </row>
    <row r="525" spans="1:3">
      <c r="A525" s="448">
        <v>525</v>
      </c>
      <c r="B525" s="448" t="str">
        <f t="shared" si="8"/>
        <v>Trad525</v>
      </c>
      <c r="C525" s="449">
        <v>0</v>
      </c>
    </row>
    <row r="526" spans="1:3">
      <c r="A526" s="448">
        <v>526</v>
      </c>
      <c r="B526" s="448" t="str">
        <f t="shared" si="8"/>
        <v>Trad526</v>
      </c>
      <c r="C526" s="449">
        <v>0</v>
      </c>
    </row>
    <row r="527" spans="1:3">
      <c r="A527" s="448">
        <v>527</v>
      </c>
      <c r="B527" s="448" t="str">
        <f t="shared" si="8"/>
        <v>Trad527</v>
      </c>
      <c r="C527" s="449">
        <v>0</v>
      </c>
    </row>
    <row r="528" spans="1:3">
      <c r="A528" s="448">
        <v>528</v>
      </c>
      <c r="B528" s="448" t="str">
        <f t="shared" si="8"/>
        <v>Trad528</v>
      </c>
      <c r="C528" s="449">
        <v>0</v>
      </c>
    </row>
    <row r="529" spans="1:3">
      <c r="A529" s="448">
        <v>529</v>
      </c>
      <c r="B529" s="448" t="str">
        <f t="shared" si="8"/>
        <v>Trad529</v>
      </c>
      <c r="C529" s="449">
        <v>0</v>
      </c>
    </row>
    <row r="530" spans="1:3">
      <c r="A530" s="448">
        <v>530</v>
      </c>
      <c r="B530" s="448" t="str">
        <f t="shared" si="8"/>
        <v>Trad530</v>
      </c>
      <c r="C530" s="449">
        <v>0</v>
      </c>
    </row>
    <row r="531" spans="1:3">
      <c r="A531" s="448">
        <v>531</v>
      </c>
      <c r="B531" s="448" t="str">
        <f t="shared" si="8"/>
        <v>Trad531</v>
      </c>
      <c r="C531" s="449">
        <v>0</v>
      </c>
    </row>
    <row r="532" spans="1:3">
      <c r="A532" s="448">
        <v>532</v>
      </c>
      <c r="B532" s="448" t="str">
        <f t="shared" si="8"/>
        <v>Trad532</v>
      </c>
      <c r="C532" s="449">
        <v>0</v>
      </c>
    </row>
    <row r="533" spans="1:3">
      <c r="A533" s="448">
        <v>533</v>
      </c>
      <c r="B533" s="448" t="str">
        <f t="shared" si="8"/>
        <v>Trad533</v>
      </c>
      <c r="C533" s="449">
        <v>0</v>
      </c>
    </row>
    <row r="534" spans="1:3">
      <c r="A534" s="448">
        <v>534</v>
      </c>
      <c r="B534" s="448" t="str">
        <f t="shared" si="8"/>
        <v>Trad534</v>
      </c>
      <c r="C534" s="449">
        <v>0</v>
      </c>
    </row>
    <row r="535" spans="1:3">
      <c r="A535" s="448">
        <v>535</v>
      </c>
      <c r="B535" s="448" t="str">
        <f t="shared" si="8"/>
        <v>Trad535</v>
      </c>
      <c r="C535" s="449">
        <v>0</v>
      </c>
    </row>
    <row r="536" spans="1:3">
      <c r="A536" s="448">
        <v>536</v>
      </c>
      <c r="B536" s="448" t="str">
        <f t="shared" si="8"/>
        <v>Trad536</v>
      </c>
      <c r="C536" s="449">
        <v>0</v>
      </c>
    </row>
    <row r="537" spans="1:3">
      <c r="A537" s="448">
        <v>537</v>
      </c>
      <c r="B537" s="448" t="str">
        <f t="shared" si="8"/>
        <v>Trad537</v>
      </c>
      <c r="C537" s="449">
        <v>0</v>
      </c>
    </row>
    <row r="538" spans="1:3">
      <c r="A538" s="448">
        <v>538</v>
      </c>
      <c r="B538" s="448" t="str">
        <f t="shared" si="8"/>
        <v>Trad538</v>
      </c>
      <c r="C538" s="449">
        <v>0</v>
      </c>
    </row>
    <row r="539" spans="1:3">
      <c r="A539" s="448">
        <v>539</v>
      </c>
      <c r="B539" s="448" t="str">
        <f t="shared" si="8"/>
        <v>Trad539</v>
      </c>
      <c r="C539" s="449">
        <v>0</v>
      </c>
    </row>
    <row r="540" spans="1:3">
      <c r="A540" s="448">
        <v>540</v>
      </c>
      <c r="B540" s="448" t="str">
        <f t="shared" si="8"/>
        <v>Trad540</v>
      </c>
      <c r="C540" s="449">
        <v>0</v>
      </c>
    </row>
    <row r="541" spans="1:3">
      <c r="A541" s="448">
        <v>541</v>
      </c>
      <c r="B541" s="448" t="str">
        <f t="shared" si="8"/>
        <v>Trad541</v>
      </c>
      <c r="C541" s="449">
        <v>0</v>
      </c>
    </row>
    <row r="542" spans="1:3">
      <c r="A542" s="448">
        <v>542</v>
      </c>
      <c r="B542" s="448" t="str">
        <f t="shared" si="8"/>
        <v>Trad542</v>
      </c>
      <c r="C542" s="449">
        <v>0</v>
      </c>
    </row>
    <row r="543" spans="1:3">
      <c r="A543" s="448">
        <v>543</v>
      </c>
      <c r="B543" s="448" t="str">
        <f t="shared" si="8"/>
        <v>Trad543</v>
      </c>
      <c r="C543" s="449">
        <v>0</v>
      </c>
    </row>
    <row r="544" spans="1:3">
      <c r="A544" s="448">
        <v>544</v>
      </c>
      <c r="B544" s="448" t="str">
        <f t="shared" si="8"/>
        <v>Trad544</v>
      </c>
      <c r="C544" s="449">
        <v>0</v>
      </c>
    </row>
    <row r="545" spans="1:3">
      <c r="A545" s="448">
        <v>545</v>
      </c>
      <c r="B545" s="448" t="str">
        <f t="shared" si="8"/>
        <v>Trad545</v>
      </c>
      <c r="C545" s="449">
        <v>0</v>
      </c>
    </row>
    <row r="546" spans="1:3">
      <c r="A546" s="448">
        <v>546</v>
      </c>
      <c r="B546" s="448" t="str">
        <f t="shared" si="8"/>
        <v>Trad546</v>
      </c>
      <c r="C546" s="449">
        <v>0</v>
      </c>
    </row>
    <row r="547" spans="1:3">
      <c r="A547" s="448">
        <v>547</v>
      </c>
      <c r="B547" s="448" t="str">
        <f t="shared" si="8"/>
        <v>Trad547</v>
      </c>
      <c r="C547" s="449">
        <v>0</v>
      </c>
    </row>
    <row r="548" spans="1:3">
      <c r="A548" s="448">
        <v>548</v>
      </c>
      <c r="B548" s="448" t="str">
        <f t="shared" si="8"/>
        <v>Trad548</v>
      </c>
      <c r="C548" s="449">
        <v>0</v>
      </c>
    </row>
    <row r="549" spans="1:3">
      <c r="A549" s="448">
        <v>549</v>
      </c>
      <c r="B549" s="448" t="str">
        <f t="shared" si="8"/>
        <v>Trad549</v>
      </c>
      <c r="C549" s="449">
        <v>0</v>
      </c>
    </row>
    <row r="550" spans="1:3">
      <c r="A550" s="448">
        <v>550</v>
      </c>
      <c r="B550" s="448" t="str">
        <f t="shared" si="8"/>
        <v>Trad550</v>
      </c>
      <c r="C550" s="449">
        <v>0</v>
      </c>
    </row>
    <row r="551" spans="1:3">
      <c r="A551" s="448">
        <v>551</v>
      </c>
      <c r="B551" s="448" t="str">
        <f t="shared" si="8"/>
        <v>Trad551</v>
      </c>
      <c r="C551" s="449">
        <v>0</v>
      </c>
    </row>
    <row r="552" spans="1:3">
      <c r="A552" s="448">
        <v>552</v>
      </c>
      <c r="B552" s="448" t="str">
        <f t="shared" si="8"/>
        <v>Trad552</v>
      </c>
      <c r="C552" s="449">
        <v>0</v>
      </c>
    </row>
    <row r="553" spans="1:3">
      <c r="A553" s="448">
        <v>553</v>
      </c>
      <c r="B553" s="448" t="str">
        <f t="shared" si="8"/>
        <v>Trad553</v>
      </c>
      <c r="C553" s="449">
        <v>0</v>
      </c>
    </row>
    <row r="554" spans="1:3">
      <c r="A554" s="448">
        <v>554</v>
      </c>
      <c r="B554" s="448" t="str">
        <f t="shared" si="8"/>
        <v>Trad554</v>
      </c>
      <c r="C554" s="449">
        <v>0</v>
      </c>
    </row>
    <row r="555" spans="1:3">
      <c r="A555" s="448">
        <v>555</v>
      </c>
      <c r="B555" s="448" t="str">
        <f t="shared" si="8"/>
        <v>Trad555</v>
      </c>
      <c r="C555" s="449">
        <v>0</v>
      </c>
    </row>
    <row r="556" spans="1:3">
      <c r="A556" s="448">
        <v>556</v>
      </c>
      <c r="B556" s="448" t="str">
        <f t="shared" si="8"/>
        <v>Trad556</v>
      </c>
      <c r="C556" s="449">
        <v>0</v>
      </c>
    </row>
    <row r="557" spans="1:3">
      <c r="A557" s="448">
        <v>557</v>
      </c>
      <c r="B557" s="448" t="str">
        <f t="shared" si="8"/>
        <v>Trad557</v>
      </c>
      <c r="C557" s="449">
        <v>0</v>
      </c>
    </row>
    <row r="558" spans="1:3">
      <c r="A558" s="448">
        <v>558</v>
      </c>
      <c r="B558" s="448" t="str">
        <f t="shared" si="8"/>
        <v>Trad558</v>
      </c>
      <c r="C558" s="449">
        <v>0</v>
      </c>
    </row>
    <row r="559" spans="1:3">
      <c r="A559" s="448">
        <v>559</v>
      </c>
      <c r="B559" s="448" t="str">
        <f t="shared" si="8"/>
        <v>Trad559</v>
      </c>
      <c r="C559" s="449">
        <v>0</v>
      </c>
    </row>
    <row r="560" spans="1:3">
      <c r="A560" s="448">
        <v>560</v>
      </c>
      <c r="B560" s="448" t="str">
        <f t="shared" si="8"/>
        <v>Trad560</v>
      </c>
      <c r="C560" s="449">
        <v>0</v>
      </c>
    </row>
    <row r="561" spans="1:3">
      <c r="A561" s="448">
        <v>561</v>
      </c>
      <c r="B561" s="448" t="str">
        <f t="shared" si="8"/>
        <v>Trad561</v>
      </c>
      <c r="C561" s="449">
        <v>0</v>
      </c>
    </row>
    <row r="562" spans="1:3">
      <c r="A562" s="448">
        <v>562</v>
      </c>
      <c r="B562" s="448" t="str">
        <f t="shared" si="8"/>
        <v>Trad562</v>
      </c>
      <c r="C562" s="449">
        <v>0</v>
      </c>
    </row>
    <row r="563" spans="1:3">
      <c r="A563" s="448">
        <v>563</v>
      </c>
      <c r="B563" s="448" t="str">
        <f t="shared" si="8"/>
        <v>Trad563</v>
      </c>
      <c r="C563" s="449">
        <v>0</v>
      </c>
    </row>
    <row r="564" spans="1:3">
      <c r="A564" s="448">
        <v>564</v>
      </c>
      <c r="B564" s="448" t="str">
        <f t="shared" si="8"/>
        <v>Trad564</v>
      </c>
      <c r="C564" s="449">
        <v>0</v>
      </c>
    </row>
    <row r="565" spans="1:3">
      <c r="A565" s="448">
        <v>565</v>
      </c>
      <c r="B565" s="448" t="str">
        <f t="shared" si="8"/>
        <v>Trad565</v>
      </c>
      <c r="C565" s="449">
        <v>0</v>
      </c>
    </row>
    <row r="566" spans="1:3">
      <c r="A566" s="448">
        <v>566</v>
      </c>
      <c r="B566" s="448" t="str">
        <f t="shared" si="8"/>
        <v>Trad566</v>
      </c>
      <c r="C566" s="449">
        <v>0</v>
      </c>
    </row>
    <row r="567" spans="1:3">
      <c r="A567" s="448">
        <v>567</v>
      </c>
      <c r="B567" s="448" t="str">
        <f t="shared" si="8"/>
        <v>Trad567</v>
      </c>
      <c r="C567" s="449">
        <v>0</v>
      </c>
    </row>
    <row r="568" spans="1:3">
      <c r="A568" s="448">
        <v>568</v>
      </c>
      <c r="B568" s="448" t="str">
        <f t="shared" si="8"/>
        <v>Trad568</v>
      </c>
      <c r="C568" s="449">
        <v>0</v>
      </c>
    </row>
    <row r="569" spans="1:3">
      <c r="A569" s="448">
        <v>569</v>
      </c>
      <c r="B569" s="448" t="str">
        <f t="shared" si="8"/>
        <v>Trad569</v>
      </c>
      <c r="C569" s="449">
        <v>0</v>
      </c>
    </row>
    <row r="570" spans="1:3">
      <c r="A570" s="448">
        <v>570</v>
      </c>
      <c r="B570" s="448" t="str">
        <f t="shared" si="8"/>
        <v>Trad570</v>
      </c>
      <c r="C570" s="449">
        <v>0</v>
      </c>
    </row>
    <row r="571" spans="1:3">
      <c r="A571" s="448">
        <v>571</v>
      </c>
      <c r="B571" s="448" t="str">
        <f t="shared" si="8"/>
        <v>Trad571</v>
      </c>
      <c r="C571" s="449">
        <v>0</v>
      </c>
    </row>
    <row r="572" spans="1:3">
      <c r="A572" s="448">
        <v>572</v>
      </c>
      <c r="B572" s="448" t="str">
        <f t="shared" si="8"/>
        <v>Trad572</v>
      </c>
      <c r="C572" s="449">
        <v>0</v>
      </c>
    </row>
    <row r="573" spans="1:3">
      <c r="A573" s="448">
        <v>573</v>
      </c>
      <c r="B573" s="448" t="str">
        <f t="shared" si="8"/>
        <v>Trad573</v>
      </c>
      <c r="C573" s="449">
        <v>0</v>
      </c>
    </row>
    <row r="574" spans="1:3">
      <c r="A574" s="448">
        <v>574</v>
      </c>
      <c r="B574" s="448" t="str">
        <f t="shared" si="8"/>
        <v>Trad574</v>
      </c>
      <c r="C574" s="449">
        <v>0</v>
      </c>
    </row>
    <row r="575" spans="1:3">
      <c r="A575" s="448">
        <v>575</v>
      </c>
      <c r="B575" s="448" t="str">
        <f t="shared" si="8"/>
        <v>Trad575</v>
      </c>
      <c r="C575" s="449">
        <v>0</v>
      </c>
    </row>
    <row r="576" spans="1:3">
      <c r="A576" s="448">
        <v>576</v>
      </c>
      <c r="B576" s="448" t="str">
        <f t="shared" si="8"/>
        <v>Trad576</v>
      </c>
      <c r="C576" s="449">
        <v>0</v>
      </c>
    </row>
    <row r="577" spans="1:3">
      <c r="A577" s="448">
        <v>577</v>
      </c>
      <c r="B577" s="448" t="str">
        <f t="shared" si="8"/>
        <v>Trad577</v>
      </c>
      <c r="C577" s="449">
        <v>0</v>
      </c>
    </row>
    <row r="578" spans="1:3">
      <c r="A578" s="448">
        <v>578</v>
      </c>
      <c r="B578" s="448" t="str">
        <f t="shared" ref="B578:B641" si="9">+_xlfn.CONCAT("Trad",A578)</f>
        <v>Trad578</v>
      </c>
      <c r="C578" s="449">
        <v>0</v>
      </c>
    </row>
    <row r="579" spans="1:3">
      <c r="A579" s="448">
        <v>579</v>
      </c>
      <c r="B579" s="448" t="str">
        <f t="shared" si="9"/>
        <v>Trad579</v>
      </c>
      <c r="C579" s="449">
        <v>0</v>
      </c>
    </row>
    <row r="580" spans="1:3">
      <c r="A580" s="448">
        <v>580</v>
      </c>
      <c r="B580" s="448" t="str">
        <f t="shared" si="9"/>
        <v>Trad580</v>
      </c>
      <c r="C580" s="449">
        <v>0</v>
      </c>
    </row>
    <row r="581" spans="1:3">
      <c r="A581" s="448">
        <v>581</v>
      </c>
      <c r="B581" s="448" t="str">
        <f t="shared" si="9"/>
        <v>Trad581</v>
      </c>
      <c r="C581" s="449">
        <v>0</v>
      </c>
    </row>
    <row r="582" spans="1:3">
      <c r="A582" s="448">
        <v>582</v>
      </c>
      <c r="B582" s="448" t="str">
        <f t="shared" si="9"/>
        <v>Trad582</v>
      </c>
      <c r="C582" s="449">
        <v>0</v>
      </c>
    </row>
    <row r="583" spans="1:3">
      <c r="A583" s="448">
        <v>583</v>
      </c>
      <c r="B583" s="448" t="str">
        <f t="shared" si="9"/>
        <v>Trad583</v>
      </c>
      <c r="C583" s="449">
        <v>0</v>
      </c>
    </row>
    <row r="584" spans="1:3">
      <c r="A584" s="448">
        <v>584</v>
      </c>
      <c r="B584" s="448" t="str">
        <f t="shared" si="9"/>
        <v>Trad584</v>
      </c>
      <c r="C584" s="449">
        <v>0</v>
      </c>
    </row>
    <row r="585" spans="1:3">
      <c r="A585" s="448">
        <v>585</v>
      </c>
      <c r="B585" s="448" t="str">
        <f t="shared" si="9"/>
        <v>Trad585</v>
      </c>
      <c r="C585" s="449">
        <v>0</v>
      </c>
    </row>
    <row r="586" spans="1:3">
      <c r="A586" s="448">
        <v>586</v>
      </c>
      <c r="B586" s="448" t="str">
        <f t="shared" si="9"/>
        <v>Trad586</v>
      </c>
      <c r="C586" s="449">
        <v>0</v>
      </c>
    </row>
    <row r="587" spans="1:3">
      <c r="A587" s="448">
        <v>587</v>
      </c>
      <c r="B587" s="448" t="str">
        <f t="shared" si="9"/>
        <v>Trad587</v>
      </c>
      <c r="C587" s="449">
        <v>0</v>
      </c>
    </row>
    <row r="588" spans="1:3">
      <c r="A588" s="448">
        <v>588</v>
      </c>
      <c r="B588" s="448" t="str">
        <f t="shared" si="9"/>
        <v>Trad588</v>
      </c>
      <c r="C588" s="449">
        <v>0</v>
      </c>
    </row>
    <row r="589" spans="1:3">
      <c r="A589" s="448">
        <v>589</v>
      </c>
      <c r="B589" s="448" t="str">
        <f t="shared" si="9"/>
        <v>Trad589</v>
      </c>
      <c r="C589" s="449">
        <v>0</v>
      </c>
    </row>
    <row r="590" spans="1:3">
      <c r="A590" s="448">
        <v>590</v>
      </c>
      <c r="B590" s="448" t="str">
        <f t="shared" si="9"/>
        <v>Trad590</v>
      </c>
      <c r="C590" s="449">
        <v>0</v>
      </c>
    </row>
    <row r="591" spans="1:3">
      <c r="A591" s="448">
        <v>591</v>
      </c>
      <c r="B591" s="448" t="str">
        <f t="shared" si="9"/>
        <v>Trad591</v>
      </c>
      <c r="C591" s="449">
        <v>0</v>
      </c>
    </row>
    <row r="592" spans="1:3">
      <c r="A592" s="448">
        <v>592</v>
      </c>
      <c r="B592" s="448" t="str">
        <f t="shared" si="9"/>
        <v>Trad592</v>
      </c>
      <c r="C592" s="449">
        <v>0</v>
      </c>
    </row>
    <row r="593" spans="1:20">
      <c r="A593" s="448">
        <v>593</v>
      </c>
      <c r="B593" s="448" t="str">
        <f t="shared" si="9"/>
        <v>Trad593</v>
      </c>
      <c r="C593" s="449">
        <v>0</v>
      </c>
    </row>
    <row r="594" spans="1:20">
      <c r="A594" s="448">
        <v>594</v>
      </c>
      <c r="B594" s="448" t="str">
        <f t="shared" si="9"/>
        <v>Trad594</v>
      </c>
      <c r="C594" s="449">
        <v>0</v>
      </c>
    </row>
    <row r="595" spans="1:20">
      <c r="A595" s="448">
        <v>595</v>
      </c>
      <c r="B595" s="448" t="str">
        <f t="shared" si="9"/>
        <v>Trad595</v>
      </c>
      <c r="C595" s="449">
        <v>0</v>
      </c>
    </row>
    <row r="596" spans="1:20">
      <c r="A596" s="448">
        <v>596</v>
      </c>
      <c r="B596" s="448" t="str">
        <f t="shared" si="9"/>
        <v>Trad596</v>
      </c>
      <c r="C596" s="449">
        <v>0</v>
      </c>
    </row>
    <row r="597" spans="1:20">
      <c r="A597" s="448">
        <v>597</v>
      </c>
      <c r="B597" s="448" t="str">
        <f t="shared" si="9"/>
        <v>Trad597</v>
      </c>
      <c r="C597" s="449">
        <v>0</v>
      </c>
    </row>
    <row r="598" spans="1:20">
      <c r="A598" s="448">
        <v>598</v>
      </c>
      <c r="B598" s="448" t="str">
        <f t="shared" si="9"/>
        <v>Trad598</v>
      </c>
      <c r="C598" s="449">
        <v>0</v>
      </c>
    </row>
    <row r="599" spans="1:20">
      <c r="A599" s="448">
        <v>599</v>
      </c>
      <c r="B599" s="448" t="str">
        <f t="shared" si="9"/>
        <v>Trad599</v>
      </c>
      <c r="C599" s="449">
        <v>0</v>
      </c>
    </row>
    <row r="600" spans="1:20">
      <c r="A600" s="448">
        <v>600</v>
      </c>
      <c r="B600" s="448" t="str">
        <f t="shared" si="9"/>
        <v>Trad600</v>
      </c>
      <c r="C600" s="449">
        <v>0</v>
      </c>
    </row>
    <row r="601" spans="1:20">
      <c r="A601" s="448">
        <v>601</v>
      </c>
      <c r="B601" s="448" t="str">
        <f t="shared" si="9"/>
        <v>Trad601</v>
      </c>
      <c r="C601" s="449" t="s">
        <v>7071</v>
      </c>
      <c r="D601" s="448" t="s">
        <v>7072</v>
      </c>
      <c r="E601" s="448" t="s">
        <v>7073</v>
      </c>
      <c r="F601" s="448" t="s">
        <v>7074</v>
      </c>
      <c r="G601" s="448" t="s">
        <v>7075</v>
      </c>
      <c r="J601" s="464" t="s">
        <v>7076</v>
      </c>
      <c r="M601" s="448" t="s">
        <v>7077</v>
      </c>
      <c r="R601" s="448" t="s">
        <v>7078</v>
      </c>
      <c r="T601" s="448" t="s">
        <v>7079</v>
      </c>
    </row>
    <row r="602" spans="1:20">
      <c r="A602" s="448">
        <v>602</v>
      </c>
      <c r="B602" s="448" t="str">
        <f t="shared" si="9"/>
        <v>Trad602</v>
      </c>
      <c r="C602" s="449" t="s">
        <v>7080</v>
      </c>
      <c r="D602" s="448" t="s">
        <v>7081</v>
      </c>
      <c r="E602" s="448" t="s">
        <v>7082</v>
      </c>
      <c r="F602" s="448" t="s">
        <v>7083</v>
      </c>
      <c r="G602" s="448" t="s">
        <v>7084</v>
      </c>
      <c r="J602" s="464" t="s">
        <v>113</v>
      </c>
      <c r="M602" s="448" t="s">
        <v>7085</v>
      </c>
      <c r="R602" s="448" t="s">
        <v>7086</v>
      </c>
      <c r="T602" s="448" t="s">
        <v>7087</v>
      </c>
    </row>
    <row r="603" spans="1:20">
      <c r="A603" s="448">
        <v>603</v>
      </c>
      <c r="B603" s="448" t="str">
        <f t="shared" si="9"/>
        <v>Trad603</v>
      </c>
      <c r="C603" s="449" t="s">
        <v>7088</v>
      </c>
      <c r="D603" s="448" t="s">
        <v>7089</v>
      </c>
      <c r="E603" s="448" t="s">
        <v>7090</v>
      </c>
      <c r="F603" s="448" t="s">
        <v>7091</v>
      </c>
      <c r="G603" s="448" t="s">
        <v>7092</v>
      </c>
      <c r="J603" s="465" t="s">
        <v>7093</v>
      </c>
      <c r="M603" s="448" t="s">
        <v>7094</v>
      </c>
      <c r="R603" s="448" t="s">
        <v>7095</v>
      </c>
      <c r="T603" s="448" t="s">
        <v>7096</v>
      </c>
    </row>
    <row r="604" spans="1:20" ht="51">
      <c r="A604" s="448">
        <v>604</v>
      </c>
      <c r="B604" s="448" t="str">
        <f t="shared" si="9"/>
        <v>Trad604</v>
      </c>
      <c r="C604" s="449" t="s">
        <v>7097</v>
      </c>
      <c r="D604" s="448" t="s">
        <v>7098</v>
      </c>
      <c r="E604" s="448" t="s">
        <v>7099</v>
      </c>
      <c r="F604" s="448" t="s">
        <v>7100</v>
      </c>
      <c r="G604" s="448" t="s">
        <v>7101</v>
      </c>
      <c r="J604" s="464" t="s">
        <v>160</v>
      </c>
      <c r="M604" s="448" t="s">
        <v>7102</v>
      </c>
      <c r="R604" s="448" t="s">
        <v>7103</v>
      </c>
      <c r="T604" s="448" t="s">
        <v>7104</v>
      </c>
    </row>
    <row r="605" spans="1:20">
      <c r="A605" s="448">
        <v>605</v>
      </c>
      <c r="B605" s="448" t="str">
        <f t="shared" si="9"/>
        <v>Trad605</v>
      </c>
      <c r="C605" s="449" t="s">
        <v>7105</v>
      </c>
      <c r="D605" s="448" t="s">
        <v>7106</v>
      </c>
      <c r="E605" s="448" t="s">
        <v>7107</v>
      </c>
      <c r="F605" s="448" t="s">
        <v>7108</v>
      </c>
      <c r="G605" s="448" t="s">
        <v>7109</v>
      </c>
      <c r="J605" s="457" t="s">
        <v>148</v>
      </c>
      <c r="M605" s="448" t="s">
        <v>7110</v>
      </c>
      <c r="R605" s="448" t="s">
        <v>7111</v>
      </c>
      <c r="T605" s="448" t="s">
        <v>7112</v>
      </c>
    </row>
    <row r="606" spans="1:20" ht="25.5" customHeight="1">
      <c r="A606" s="448">
        <v>606</v>
      </c>
      <c r="B606" s="448" t="str">
        <f t="shared" si="9"/>
        <v>Trad606</v>
      </c>
      <c r="C606" s="449" t="s">
        <v>7113</v>
      </c>
      <c r="D606" s="448" t="s">
        <v>7114</v>
      </c>
      <c r="E606" s="448" t="s">
        <v>7115</v>
      </c>
      <c r="F606" s="448" t="s">
        <v>7116</v>
      </c>
      <c r="G606" s="448" t="s">
        <v>7117</v>
      </c>
      <c r="J606" s="465" t="s">
        <v>150</v>
      </c>
      <c r="M606" s="448" t="s">
        <v>7118</v>
      </c>
      <c r="R606" s="448" t="s">
        <v>7119</v>
      </c>
      <c r="T606" s="448" t="s">
        <v>7120</v>
      </c>
    </row>
    <row r="607" spans="1:20">
      <c r="A607" s="448">
        <v>607</v>
      </c>
      <c r="B607" s="448" t="str">
        <f t="shared" si="9"/>
        <v>Trad607</v>
      </c>
      <c r="C607" s="449" t="s">
        <v>7121</v>
      </c>
      <c r="D607" s="448" t="s">
        <v>7122</v>
      </c>
      <c r="E607" s="448" t="s">
        <v>7123</v>
      </c>
      <c r="F607" s="448" t="s">
        <v>7124</v>
      </c>
      <c r="G607" s="448" t="s">
        <v>7125</v>
      </c>
      <c r="J607" s="465" t="s">
        <v>8</v>
      </c>
      <c r="M607" s="448" t="s">
        <v>7126</v>
      </c>
      <c r="R607" s="448" t="s">
        <v>7127</v>
      </c>
      <c r="T607" s="448" t="s">
        <v>7128</v>
      </c>
    </row>
    <row r="608" spans="1:20">
      <c r="A608" s="448">
        <v>608</v>
      </c>
      <c r="B608" s="448" t="str">
        <f t="shared" si="9"/>
        <v>Trad608</v>
      </c>
      <c r="C608" s="449" t="s">
        <v>7129</v>
      </c>
      <c r="D608" s="448" t="s">
        <v>7130</v>
      </c>
      <c r="E608" s="448" t="s">
        <v>7131</v>
      </c>
      <c r="F608" s="448" t="s">
        <v>7132</v>
      </c>
      <c r="G608" s="448" t="s">
        <v>7133</v>
      </c>
      <c r="J608" s="465" t="s">
        <v>7134</v>
      </c>
      <c r="M608" s="448" t="s">
        <v>7135</v>
      </c>
      <c r="R608" s="448" t="s">
        <v>7136</v>
      </c>
      <c r="T608" s="448" t="s">
        <v>7137</v>
      </c>
    </row>
    <row r="609" spans="1:20">
      <c r="A609" s="448">
        <v>609</v>
      </c>
      <c r="B609" s="448" t="str">
        <f t="shared" si="9"/>
        <v>Trad609</v>
      </c>
      <c r="C609" s="449" t="s">
        <v>153</v>
      </c>
      <c r="D609" s="448" t="s">
        <v>153</v>
      </c>
      <c r="E609" s="448" t="s">
        <v>153</v>
      </c>
      <c r="F609" s="448" t="s">
        <v>153</v>
      </c>
      <c r="G609" s="448" t="s">
        <v>153</v>
      </c>
      <c r="J609" s="464" t="s">
        <v>153</v>
      </c>
      <c r="M609" s="448" t="s">
        <v>153</v>
      </c>
      <c r="R609" s="448" t="s">
        <v>153</v>
      </c>
      <c r="T609" s="448" t="s">
        <v>153</v>
      </c>
    </row>
    <row r="610" spans="1:20">
      <c r="A610" s="448">
        <v>610</v>
      </c>
      <c r="B610" s="448" t="str">
        <f t="shared" si="9"/>
        <v>Trad610</v>
      </c>
      <c r="C610" s="449" t="s">
        <v>7138</v>
      </c>
      <c r="D610" s="448" t="s">
        <v>7139</v>
      </c>
      <c r="E610" s="448" t="s">
        <v>7140</v>
      </c>
      <c r="F610" s="448" t="s">
        <v>7141</v>
      </c>
      <c r="G610" s="448" t="s">
        <v>7142</v>
      </c>
      <c r="J610" s="465" t="s">
        <v>182</v>
      </c>
      <c r="M610" s="448" t="s">
        <v>7143</v>
      </c>
      <c r="R610" s="448" t="s">
        <v>7144</v>
      </c>
      <c r="T610" s="448" t="s">
        <v>7145</v>
      </c>
    </row>
    <row r="611" spans="1:20" ht="25.5">
      <c r="A611" s="448">
        <v>611</v>
      </c>
      <c r="B611" s="448" t="str">
        <f t="shared" si="9"/>
        <v>Trad611</v>
      </c>
      <c r="C611" s="449" t="s">
        <v>7146</v>
      </c>
      <c r="D611" s="448" t="s">
        <v>7147</v>
      </c>
      <c r="E611" s="448" t="s">
        <v>7148</v>
      </c>
      <c r="F611" s="448" t="s">
        <v>7149</v>
      </c>
      <c r="G611" s="448" t="s">
        <v>7150</v>
      </c>
      <c r="J611" s="465" t="s">
        <v>7151</v>
      </c>
      <c r="M611" s="448" t="s">
        <v>7152</v>
      </c>
      <c r="R611" s="448" t="s">
        <v>7153</v>
      </c>
      <c r="T611" s="448" t="s">
        <v>7154</v>
      </c>
    </row>
    <row r="612" spans="1:20" ht="25.5">
      <c r="A612" s="448">
        <v>612</v>
      </c>
      <c r="B612" s="448" t="str">
        <f t="shared" si="9"/>
        <v>Trad612</v>
      </c>
      <c r="C612" s="449" t="s">
        <v>7155</v>
      </c>
      <c r="D612" s="448" t="s">
        <v>7156</v>
      </c>
      <c r="E612" s="448" t="s">
        <v>7157</v>
      </c>
      <c r="F612" s="448" t="s">
        <v>7158</v>
      </c>
      <c r="G612" s="448" t="s">
        <v>7159</v>
      </c>
      <c r="J612" s="465" t="s">
        <v>189</v>
      </c>
      <c r="M612" s="448" t="s">
        <v>7160</v>
      </c>
      <c r="R612" s="448" t="s">
        <v>7161</v>
      </c>
      <c r="T612" s="448" t="s">
        <v>7162</v>
      </c>
    </row>
    <row r="613" spans="1:20">
      <c r="A613" s="448">
        <v>613</v>
      </c>
      <c r="B613" s="448" t="str">
        <f t="shared" si="9"/>
        <v>Trad613</v>
      </c>
      <c r="C613" s="449" t="s">
        <v>7163</v>
      </c>
      <c r="D613" s="448" t="s">
        <v>7164</v>
      </c>
      <c r="E613" s="448" t="s">
        <v>7165</v>
      </c>
      <c r="F613" s="448" t="s">
        <v>7166</v>
      </c>
      <c r="G613" s="448" t="s">
        <v>7167</v>
      </c>
      <c r="J613" s="465" t="s">
        <v>195</v>
      </c>
      <c r="M613" s="448" t="s">
        <v>7163</v>
      </c>
      <c r="R613" s="448" t="s">
        <v>7163</v>
      </c>
      <c r="T613" s="448" t="s">
        <v>7168</v>
      </c>
    </row>
    <row r="614" spans="1:20">
      <c r="A614" s="448">
        <v>614</v>
      </c>
      <c r="B614" s="448" t="str">
        <f t="shared" si="9"/>
        <v>Trad614</v>
      </c>
      <c r="C614" s="449" t="s">
        <v>7169</v>
      </c>
      <c r="D614" s="448" t="s">
        <v>7170</v>
      </c>
      <c r="E614" s="448" t="s">
        <v>7171</v>
      </c>
      <c r="F614" s="448" t="s">
        <v>7172</v>
      </c>
      <c r="G614" s="448" t="s">
        <v>7173</v>
      </c>
      <c r="J614" s="465" t="s">
        <v>217</v>
      </c>
      <c r="M614" s="448" t="s">
        <v>7174</v>
      </c>
      <c r="R614" s="448" t="s">
        <v>7175</v>
      </c>
      <c r="T614" s="448" t="s">
        <v>7176</v>
      </c>
    </row>
    <row r="615" spans="1:20" ht="25.5">
      <c r="A615" s="448">
        <v>615</v>
      </c>
      <c r="B615" s="448" t="str">
        <f t="shared" si="9"/>
        <v>Trad615</v>
      </c>
      <c r="C615" s="449" t="s">
        <v>7177</v>
      </c>
      <c r="D615" s="448" t="s">
        <v>7178</v>
      </c>
      <c r="E615" s="448" t="s">
        <v>7179</v>
      </c>
      <c r="F615" s="448" t="s">
        <v>7180</v>
      </c>
      <c r="G615" s="448" t="s">
        <v>7181</v>
      </c>
      <c r="J615" s="465" t="s">
        <v>221</v>
      </c>
      <c r="M615" s="448" t="s">
        <v>7182</v>
      </c>
      <c r="R615" s="448" t="s">
        <v>7183</v>
      </c>
      <c r="T615" s="448" t="s">
        <v>7184</v>
      </c>
    </row>
    <row r="616" spans="1:20">
      <c r="A616" s="448">
        <v>616</v>
      </c>
      <c r="B616" s="448" t="str">
        <f t="shared" si="9"/>
        <v>Trad616</v>
      </c>
      <c r="C616" s="449" t="s">
        <v>7185</v>
      </c>
      <c r="D616" s="448" t="s">
        <v>7186</v>
      </c>
      <c r="E616" s="448" t="s">
        <v>7187</v>
      </c>
      <c r="F616" s="448" t="s">
        <v>7188</v>
      </c>
      <c r="G616" s="448" t="s">
        <v>7189</v>
      </c>
      <c r="J616" s="465" t="s">
        <v>7190</v>
      </c>
      <c r="M616" s="448" t="s">
        <v>7191</v>
      </c>
      <c r="R616" s="448" t="s">
        <v>7192</v>
      </c>
      <c r="T616" s="448" t="s">
        <v>7193</v>
      </c>
    </row>
    <row r="617" spans="1:20">
      <c r="A617" s="448">
        <v>617</v>
      </c>
      <c r="B617" s="448" t="str">
        <f t="shared" si="9"/>
        <v>Trad617</v>
      </c>
      <c r="C617" s="449" t="s">
        <v>28</v>
      </c>
      <c r="D617" s="448" t="s">
        <v>7194</v>
      </c>
      <c r="E617" s="448" t="s">
        <v>7195</v>
      </c>
      <c r="F617" s="448" t="s">
        <v>7196</v>
      </c>
      <c r="G617" s="448" t="s">
        <v>7197</v>
      </c>
      <c r="J617" s="465" t="s">
        <v>7198</v>
      </c>
      <c r="M617" s="448" t="s">
        <v>7199</v>
      </c>
      <c r="R617" s="448" t="s">
        <v>7200</v>
      </c>
      <c r="T617" s="448" t="s">
        <v>7201</v>
      </c>
    </row>
    <row r="618" spans="1:20">
      <c r="A618" s="448">
        <v>618</v>
      </c>
      <c r="B618" s="448" t="str">
        <f t="shared" si="9"/>
        <v>Trad618</v>
      </c>
      <c r="C618" s="449" t="s">
        <v>7202</v>
      </c>
      <c r="D618" s="448" t="s">
        <v>7203</v>
      </c>
      <c r="E618" s="448" t="s">
        <v>7204</v>
      </c>
      <c r="F618" s="448" t="s">
        <v>7203</v>
      </c>
      <c r="G618" s="448" t="s">
        <v>7205</v>
      </c>
      <c r="J618" s="465" t="s">
        <v>7205</v>
      </c>
      <c r="M618" s="448" t="s">
        <v>7206</v>
      </c>
      <c r="R618" s="448" t="s">
        <v>7206</v>
      </c>
      <c r="T618" s="448" t="s">
        <v>7203</v>
      </c>
    </row>
    <row r="619" spans="1:20">
      <c r="A619" s="448">
        <v>619</v>
      </c>
      <c r="B619" s="448" t="str">
        <f t="shared" si="9"/>
        <v>Trad619</v>
      </c>
      <c r="C619" s="449" t="s">
        <v>7207</v>
      </c>
      <c r="D619" s="448" t="s">
        <v>7208</v>
      </c>
      <c r="E619" s="448" t="s">
        <v>7209</v>
      </c>
      <c r="F619" s="448" t="s">
        <v>7210</v>
      </c>
      <c r="G619" s="448" t="s">
        <v>7211</v>
      </c>
      <c r="J619" s="465" t="s">
        <v>7212</v>
      </c>
      <c r="M619" s="448" t="s">
        <v>7213</v>
      </c>
      <c r="R619" s="448" t="s">
        <v>7214</v>
      </c>
      <c r="T619" s="448" t="s">
        <v>7215</v>
      </c>
    </row>
    <row r="620" spans="1:20" ht="51">
      <c r="A620" s="448">
        <v>620</v>
      </c>
      <c r="B620" s="448" t="str">
        <f t="shared" si="9"/>
        <v>Trad620</v>
      </c>
      <c r="C620" s="449" t="s">
        <v>7097</v>
      </c>
      <c r="D620" s="448" t="s">
        <v>7216</v>
      </c>
      <c r="E620" s="448" t="s">
        <v>7217</v>
      </c>
      <c r="F620" s="448" t="s">
        <v>7100</v>
      </c>
      <c r="G620" s="448" t="s">
        <v>7101</v>
      </c>
      <c r="J620" s="465" t="s">
        <v>160</v>
      </c>
      <c r="M620" s="448" t="s">
        <v>7218</v>
      </c>
      <c r="R620" s="448" t="s">
        <v>7103</v>
      </c>
      <c r="T620" s="448" t="s">
        <v>7219</v>
      </c>
    </row>
    <row r="621" spans="1:20">
      <c r="A621" s="448">
        <v>621</v>
      </c>
      <c r="B621" s="448" t="str">
        <f t="shared" si="9"/>
        <v>Trad621</v>
      </c>
      <c r="C621" s="449" t="s">
        <v>7220</v>
      </c>
      <c r="D621" s="448" t="s">
        <v>7221</v>
      </c>
      <c r="E621" s="448" t="s">
        <v>7222</v>
      </c>
      <c r="F621" s="448" t="s">
        <v>7223</v>
      </c>
      <c r="G621" s="448" t="s">
        <v>7224</v>
      </c>
      <c r="J621" s="465" t="s">
        <v>7225</v>
      </c>
      <c r="M621" s="448" t="s">
        <v>7226</v>
      </c>
      <c r="R621" s="448" t="s">
        <v>7227</v>
      </c>
      <c r="T621" s="448" t="s">
        <v>7228</v>
      </c>
    </row>
    <row r="622" spans="1:20" ht="25.5">
      <c r="A622" s="448">
        <v>622</v>
      </c>
      <c r="B622" s="448" t="str">
        <f t="shared" si="9"/>
        <v>Trad622</v>
      </c>
      <c r="C622" s="449" t="s">
        <v>7229</v>
      </c>
      <c r="D622" s="448" t="s">
        <v>7230</v>
      </c>
      <c r="E622" s="448" t="s">
        <v>7231</v>
      </c>
      <c r="F622" s="448" t="s">
        <v>7232</v>
      </c>
      <c r="G622" s="448" t="s">
        <v>7233</v>
      </c>
      <c r="J622" s="466" t="s">
        <v>226</v>
      </c>
      <c r="M622" s="448" t="s">
        <v>7234</v>
      </c>
      <c r="R622" s="448" t="s">
        <v>7235</v>
      </c>
      <c r="T622" s="448" t="s">
        <v>7236</v>
      </c>
    </row>
    <row r="623" spans="1:20" ht="38.25" customHeight="1">
      <c r="A623" s="448">
        <v>623</v>
      </c>
      <c r="B623" s="448" t="str">
        <f t="shared" si="9"/>
        <v>Trad623</v>
      </c>
      <c r="C623" s="449" t="s">
        <v>7237</v>
      </c>
      <c r="D623" s="448" t="s">
        <v>7238</v>
      </c>
      <c r="E623" s="448" t="s">
        <v>7239</v>
      </c>
      <c r="F623" s="448" t="s">
        <v>7240</v>
      </c>
      <c r="G623" s="448" t="s">
        <v>7241</v>
      </c>
      <c r="J623" s="464" t="s">
        <v>228</v>
      </c>
      <c r="M623" s="448" t="s">
        <v>7242</v>
      </c>
      <c r="R623" s="448" t="s">
        <v>7243</v>
      </c>
      <c r="T623" s="448" t="s">
        <v>7244</v>
      </c>
    </row>
    <row r="624" spans="1:20">
      <c r="A624" s="448">
        <v>624</v>
      </c>
      <c r="B624" s="448" t="str">
        <f t="shared" si="9"/>
        <v>Trad624</v>
      </c>
      <c r="C624" s="449" t="s">
        <v>7245</v>
      </c>
      <c r="D624" s="448" t="s">
        <v>7246</v>
      </c>
      <c r="E624" s="448" t="s">
        <v>7247</v>
      </c>
      <c r="F624" s="448" t="s">
        <v>7248</v>
      </c>
      <c r="G624" s="448" t="s">
        <v>225</v>
      </c>
      <c r="J624" s="464" t="s">
        <v>225</v>
      </c>
      <c r="M624" s="448" t="s">
        <v>7249</v>
      </c>
      <c r="R624" s="448" t="s">
        <v>7249</v>
      </c>
      <c r="T624" s="448" t="s">
        <v>7250</v>
      </c>
    </row>
    <row r="625" spans="1:22" ht="25.5">
      <c r="A625" s="448">
        <v>625</v>
      </c>
      <c r="B625" s="448" t="str">
        <f t="shared" si="9"/>
        <v>Trad625</v>
      </c>
      <c r="C625" s="449" t="s">
        <v>7251</v>
      </c>
      <c r="D625" s="448" t="s">
        <v>7252</v>
      </c>
      <c r="E625" s="448" t="s">
        <v>7253</v>
      </c>
      <c r="F625" s="448" t="s">
        <v>7254</v>
      </c>
      <c r="G625" s="448" t="s">
        <v>7255</v>
      </c>
      <c r="J625" s="467" t="s">
        <v>229</v>
      </c>
      <c r="M625" s="448" t="s">
        <v>7256</v>
      </c>
      <c r="R625" s="448" t="s">
        <v>7257</v>
      </c>
      <c r="T625" s="448" t="s">
        <v>7258</v>
      </c>
    </row>
    <row r="626" spans="1:22" ht="25.5">
      <c r="A626" s="448">
        <v>626</v>
      </c>
      <c r="B626" s="448" t="str">
        <f t="shared" si="9"/>
        <v>Trad626</v>
      </c>
      <c r="C626" s="449" t="s">
        <v>7259</v>
      </c>
      <c r="D626" s="448" t="s">
        <v>7260</v>
      </c>
      <c r="E626" s="448" t="s">
        <v>7261</v>
      </c>
      <c r="F626" s="448" t="s">
        <v>7262</v>
      </c>
      <c r="G626" s="448" t="s">
        <v>7263</v>
      </c>
      <c r="J626" s="467" t="s">
        <v>230</v>
      </c>
      <c r="M626" s="448" t="s">
        <v>7264</v>
      </c>
      <c r="R626" s="448" t="s">
        <v>7265</v>
      </c>
      <c r="T626" s="448" t="s">
        <v>7266</v>
      </c>
    </row>
    <row r="627" spans="1:22" ht="102">
      <c r="A627" s="448">
        <v>627</v>
      </c>
      <c r="B627" s="448" t="str">
        <f t="shared" si="9"/>
        <v>Trad627</v>
      </c>
      <c r="C627" s="449" t="s">
        <v>7267</v>
      </c>
      <c r="D627" s="448" t="s">
        <v>7268</v>
      </c>
      <c r="E627" s="448" t="s">
        <v>7269</v>
      </c>
      <c r="F627" s="448" t="s">
        <v>7270</v>
      </c>
      <c r="G627" s="448" t="s">
        <v>7271</v>
      </c>
      <c r="J627" s="423" t="s">
        <v>231</v>
      </c>
      <c r="M627" s="448" t="s">
        <v>7272</v>
      </c>
      <c r="R627" s="448" t="s">
        <v>7273</v>
      </c>
      <c r="T627" s="448" t="s">
        <v>7274</v>
      </c>
    </row>
    <row r="628" spans="1:22" ht="280.5">
      <c r="A628" s="448">
        <v>628</v>
      </c>
      <c r="B628" s="448" t="str">
        <f t="shared" si="9"/>
        <v>Trad628</v>
      </c>
      <c r="C628" s="449" t="s">
        <v>7275</v>
      </c>
      <c r="D628" s="448" t="s">
        <v>7276</v>
      </c>
      <c r="E628" s="448" t="s">
        <v>7277</v>
      </c>
      <c r="F628" s="448" t="s">
        <v>7278</v>
      </c>
      <c r="G628" s="448" t="s">
        <v>7279</v>
      </c>
      <c r="J628" s="423" t="s">
        <v>232</v>
      </c>
      <c r="M628" s="448" t="s">
        <v>7280</v>
      </c>
      <c r="R628" s="448" t="s">
        <v>7281</v>
      </c>
      <c r="T628" s="448" t="s">
        <v>7282</v>
      </c>
    </row>
    <row r="629" spans="1:22">
      <c r="A629" s="448">
        <v>629</v>
      </c>
      <c r="B629" s="448" t="str">
        <f t="shared" si="9"/>
        <v>Trad629</v>
      </c>
      <c r="C629" s="449" t="s">
        <v>7283</v>
      </c>
      <c r="D629" s="448" t="s">
        <v>204</v>
      </c>
      <c r="E629" s="448" t="s">
        <v>204</v>
      </c>
      <c r="F629" s="448" t="s">
        <v>7284</v>
      </c>
      <c r="G629" s="448" t="s">
        <v>7285</v>
      </c>
      <c r="H629" s="448" t="s">
        <v>204</v>
      </c>
      <c r="I629" s="448" t="s">
        <v>204</v>
      </c>
      <c r="J629" s="451" t="s">
        <v>204</v>
      </c>
      <c r="K629" s="448" t="s">
        <v>204</v>
      </c>
      <c r="L629" s="448" t="s">
        <v>204</v>
      </c>
      <c r="M629" s="448" t="s">
        <v>204</v>
      </c>
      <c r="N629" s="448" t="s">
        <v>204</v>
      </c>
      <c r="O629" s="448" t="s">
        <v>204</v>
      </c>
      <c r="P629" s="448" t="s">
        <v>204</v>
      </c>
      <c r="Q629" s="448" t="s">
        <v>204</v>
      </c>
      <c r="R629" s="448" t="s">
        <v>7286</v>
      </c>
      <c r="S629" s="448" t="s">
        <v>204</v>
      </c>
      <c r="T629" s="448" t="s">
        <v>7287</v>
      </c>
      <c r="U629" s="448" t="s">
        <v>204</v>
      </c>
      <c r="V629" s="448" t="s">
        <v>204</v>
      </c>
    </row>
    <row r="630" spans="1:22">
      <c r="A630" s="448">
        <v>630</v>
      </c>
      <c r="B630" s="448" t="str">
        <f t="shared" si="9"/>
        <v>Trad630</v>
      </c>
      <c r="C630" s="449" t="s">
        <v>7288</v>
      </c>
      <c r="D630" s="448" t="s">
        <v>207</v>
      </c>
      <c r="E630" s="448" t="s">
        <v>207</v>
      </c>
      <c r="F630" s="448" t="s">
        <v>7289</v>
      </c>
      <c r="G630" s="448" t="s">
        <v>7290</v>
      </c>
      <c r="H630" s="448" t="s">
        <v>207</v>
      </c>
      <c r="I630" s="448" t="s">
        <v>207</v>
      </c>
      <c r="J630" s="451" t="s">
        <v>207</v>
      </c>
      <c r="K630" s="448" t="s">
        <v>207</v>
      </c>
      <c r="L630" s="448" t="s">
        <v>207</v>
      </c>
      <c r="M630" s="448" t="s">
        <v>207</v>
      </c>
      <c r="N630" s="448" t="s">
        <v>207</v>
      </c>
      <c r="O630" s="448" t="s">
        <v>207</v>
      </c>
      <c r="P630" s="448" t="s">
        <v>207</v>
      </c>
      <c r="Q630" s="448" t="s">
        <v>207</v>
      </c>
      <c r="R630" s="448" t="s">
        <v>7291</v>
      </c>
      <c r="S630" s="448" t="s">
        <v>207</v>
      </c>
      <c r="T630" s="448" t="s">
        <v>7292</v>
      </c>
      <c r="U630" s="448" t="s">
        <v>207</v>
      </c>
      <c r="V630" s="448" t="s">
        <v>207</v>
      </c>
    </row>
    <row r="631" spans="1:22">
      <c r="A631" s="448">
        <v>631</v>
      </c>
      <c r="B631" s="448" t="str">
        <f t="shared" si="9"/>
        <v>Trad631</v>
      </c>
      <c r="C631" s="449" t="s">
        <v>7293</v>
      </c>
      <c r="D631" s="448" t="s">
        <v>7294</v>
      </c>
      <c r="E631" s="448" t="s">
        <v>7294</v>
      </c>
      <c r="F631" s="448" t="s">
        <v>7295</v>
      </c>
      <c r="G631" s="448" t="s">
        <v>7296</v>
      </c>
      <c r="H631" s="448" t="s">
        <v>7294</v>
      </c>
      <c r="I631" s="448" t="s">
        <v>7294</v>
      </c>
      <c r="J631" s="448" t="s">
        <v>7297</v>
      </c>
      <c r="K631" s="448" t="s">
        <v>7294</v>
      </c>
      <c r="L631" s="448" t="s">
        <v>7294</v>
      </c>
      <c r="M631" s="448" t="s">
        <v>7294</v>
      </c>
      <c r="N631" s="448" t="s">
        <v>7294</v>
      </c>
      <c r="O631" s="448" t="s">
        <v>7294</v>
      </c>
      <c r="P631" s="448" t="s">
        <v>7294</v>
      </c>
      <c r="Q631" s="448" t="s">
        <v>7294</v>
      </c>
      <c r="R631" s="448" t="s">
        <v>7298</v>
      </c>
      <c r="S631" s="448" t="s">
        <v>7294</v>
      </c>
      <c r="T631" s="448" t="s">
        <v>7299</v>
      </c>
      <c r="U631" s="448" t="s">
        <v>7294</v>
      </c>
      <c r="V631" s="448" t="s">
        <v>7294</v>
      </c>
    </row>
    <row r="632" spans="1:22" ht="25.5">
      <c r="A632" s="448">
        <v>632</v>
      </c>
      <c r="B632" s="448" t="str">
        <f t="shared" si="9"/>
        <v>Trad632</v>
      </c>
      <c r="C632" s="449" t="s">
        <v>7300</v>
      </c>
      <c r="D632" s="448" t="s">
        <v>7301</v>
      </c>
      <c r="E632" s="448" t="s">
        <v>7301</v>
      </c>
      <c r="F632" s="448" t="s">
        <v>7302</v>
      </c>
      <c r="G632" s="448" t="s">
        <v>7303</v>
      </c>
      <c r="H632" s="448" t="s">
        <v>7301</v>
      </c>
      <c r="I632" s="448" t="s">
        <v>7301</v>
      </c>
      <c r="J632" s="448" t="s">
        <v>7301</v>
      </c>
      <c r="K632" s="448" t="s">
        <v>7301</v>
      </c>
      <c r="L632" s="448" t="s">
        <v>7301</v>
      </c>
      <c r="M632" s="448" t="s">
        <v>7301</v>
      </c>
      <c r="N632" s="448" t="s">
        <v>7301</v>
      </c>
      <c r="O632" s="448" t="s">
        <v>7301</v>
      </c>
      <c r="P632" s="448" t="s">
        <v>7301</v>
      </c>
      <c r="Q632" s="448" t="s">
        <v>7301</v>
      </c>
      <c r="R632" s="448" t="s">
        <v>7304</v>
      </c>
      <c r="S632" s="448" t="s">
        <v>7301</v>
      </c>
      <c r="T632" s="448" t="s">
        <v>7305</v>
      </c>
      <c r="U632" s="448" t="s">
        <v>7301</v>
      </c>
      <c r="V632" s="448" t="s">
        <v>7301</v>
      </c>
    </row>
    <row r="633" spans="1:22">
      <c r="A633" s="448">
        <v>633</v>
      </c>
      <c r="B633" s="448" t="str">
        <f t="shared" si="9"/>
        <v>Trad633</v>
      </c>
      <c r="C633" s="449" t="s">
        <v>7306</v>
      </c>
      <c r="G633" s="448" t="s">
        <v>7307</v>
      </c>
      <c r="J633" s="451" t="s">
        <v>7308</v>
      </c>
      <c r="R633" s="448" t="s">
        <v>7309</v>
      </c>
      <c r="T633" s="448" t="s">
        <v>7310</v>
      </c>
    </row>
    <row r="634" spans="1:22">
      <c r="A634" s="448">
        <v>634</v>
      </c>
      <c r="B634" s="448" t="str">
        <f t="shared" si="9"/>
        <v>Trad634</v>
      </c>
    </row>
    <row r="635" spans="1:22">
      <c r="A635" s="448">
        <v>635</v>
      </c>
      <c r="B635" s="448" t="str">
        <f t="shared" si="9"/>
        <v>Trad635</v>
      </c>
    </row>
    <row r="636" spans="1:22">
      <c r="A636" s="448">
        <v>636</v>
      </c>
      <c r="B636" s="448" t="str">
        <f t="shared" si="9"/>
        <v>Trad636</v>
      </c>
    </row>
    <row r="637" spans="1:22">
      <c r="A637" s="448">
        <v>637</v>
      </c>
      <c r="B637" s="448" t="str">
        <f t="shared" si="9"/>
        <v>Trad637</v>
      </c>
    </row>
    <row r="638" spans="1:22">
      <c r="A638" s="448">
        <v>638</v>
      </c>
      <c r="B638" s="448" t="str">
        <f t="shared" si="9"/>
        <v>Trad638</v>
      </c>
    </row>
    <row r="639" spans="1:22">
      <c r="A639" s="448">
        <v>639</v>
      </c>
      <c r="B639" s="448" t="str">
        <f t="shared" si="9"/>
        <v>Trad639</v>
      </c>
    </row>
    <row r="640" spans="1:22">
      <c r="A640" s="448">
        <v>640</v>
      </c>
      <c r="B640" s="448" t="str">
        <f t="shared" si="9"/>
        <v>Trad640</v>
      </c>
    </row>
    <row r="641" spans="1:2">
      <c r="A641" s="448">
        <v>641</v>
      </c>
      <c r="B641" s="448" t="str">
        <f t="shared" si="9"/>
        <v>Trad641</v>
      </c>
    </row>
    <row r="642" spans="1:2">
      <c r="A642" s="448">
        <v>642</v>
      </c>
      <c r="B642" s="448" t="str">
        <f t="shared" ref="B642:B705" si="10">+_xlfn.CONCAT("Trad",A642)</f>
        <v>Trad642</v>
      </c>
    </row>
    <row r="643" spans="1:2">
      <c r="A643" s="448">
        <v>643</v>
      </c>
      <c r="B643" s="448" t="str">
        <f t="shared" si="10"/>
        <v>Trad643</v>
      </c>
    </row>
    <row r="644" spans="1:2">
      <c r="A644" s="448">
        <v>644</v>
      </c>
      <c r="B644" s="448" t="str">
        <f t="shared" si="10"/>
        <v>Trad644</v>
      </c>
    </row>
    <row r="645" spans="1:2">
      <c r="A645" s="448">
        <v>645</v>
      </c>
      <c r="B645" s="448" t="str">
        <f t="shared" si="10"/>
        <v>Trad645</v>
      </c>
    </row>
    <row r="646" spans="1:2">
      <c r="A646" s="448">
        <v>646</v>
      </c>
      <c r="B646" s="448" t="str">
        <f t="shared" si="10"/>
        <v>Trad646</v>
      </c>
    </row>
    <row r="647" spans="1:2">
      <c r="A647" s="448">
        <v>647</v>
      </c>
      <c r="B647" s="448" t="str">
        <f t="shared" si="10"/>
        <v>Trad647</v>
      </c>
    </row>
    <row r="648" spans="1:2">
      <c r="A648" s="448">
        <v>648</v>
      </c>
      <c r="B648" s="448" t="str">
        <f t="shared" si="10"/>
        <v>Trad648</v>
      </c>
    </row>
    <row r="649" spans="1:2">
      <c r="A649" s="448">
        <v>649</v>
      </c>
      <c r="B649" s="448" t="str">
        <f t="shared" si="10"/>
        <v>Trad649</v>
      </c>
    </row>
    <row r="650" spans="1:2">
      <c r="A650" s="448">
        <v>650</v>
      </c>
      <c r="B650" s="448" t="str">
        <f t="shared" si="10"/>
        <v>Trad650</v>
      </c>
    </row>
    <row r="651" spans="1:2">
      <c r="A651" s="448">
        <v>651</v>
      </c>
      <c r="B651" s="448" t="str">
        <f t="shared" si="10"/>
        <v>Trad651</v>
      </c>
    </row>
    <row r="652" spans="1:2">
      <c r="A652" s="448">
        <v>652</v>
      </c>
      <c r="B652" s="448" t="str">
        <f t="shared" si="10"/>
        <v>Trad652</v>
      </c>
    </row>
    <row r="653" spans="1:2">
      <c r="A653" s="448">
        <v>653</v>
      </c>
      <c r="B653" s="448" t="str">
        <f t="shared" si="10"/>
        <v>Trad653</v>
      </c>
    </row>
    <row r="654" spans="1:2">
      <c r="A654" s="448">
        <v>654</v>
      </c>
      <c r="B654" s="448" t="str">
        <f t="shared" si="10"/>
        <v>Trad654</v>
      </c>
    </row>
    <row r="655" spans="1:2">
      <c r="A655" s="448">
        <v>655</v>
      </c>
      <c r="B655" s="448" t="str">
        <f t="shared" si="10"/>
        <v>Trad655</v>
      </c>
    </row>
    <row r="656" spans="1:2">
      <c r="A656" s="448">
        <v>656</v>
      </c>
      <c r="B656" s="448" t="str">
        <f t="shared" si="10"/>
        <v>Trad656</v>
      </c>
    </row>
    <row r="657" spans="1:2">
      <c r="A657" s="448">
        <v>657</v>
      </c>
      <c r="B657" s="448" t="str">
        <f t="shared" si="10"/>
        <v>Trad657</v>
      </c>
    </row>
    <row r="658" spans="1:2">
      <c r="A658" s="448">
        <v>658</v>
      </c>
      <c r="B658" s="448" t="str">
        <f t="shared" si="10"/>
        <v>Trad658</v>
      </c>
    </row>
    <row r="659" spans="1:2">
      <c r="A659" s="448">
        <v>659</v>
      </c>
      <c r="B659" s="448" t="str">
        <f t="shared" si="10"/>
        <v>Trad659</v>
      </c>
    </row>
    <row r="660" spans="1:2">
      <c r="A660" s="448">
        <v>660</v>
      </c>
      <c r="B660" s="448" t="str">
        <f t="shared" si="10"/>
        <v>Trad660</v>
      </c>
    </row>
    <row r="661" spans="1:2">
      <c r="A661" s="448">
        <v>661</v>
      </c>
      <c r="B661" s="448" t="str">
        <f t="shared" si="10"/>
        <v>Trad661</v>
      </c>
    </row>
    <row r="662" spans="1:2">
      <c r="A662" s="448">
        <v>662</v>
      </c>
      <c r="B662" s="448" t="str">
        <f t="shared" si="10"/>
        <v>Trad662</v>
      </c>
    </row>
    <row r="663" spans="1:2">
      <c r="A663" s="448">
        <v>663</v>
      </c>
      <c r="B663" s="448" t="str">
        <f t="shared" si="10"/>
        <v>Trad663</v>
      </c>
    </row>
    <row r="664" spans="1:2">
      <c r="A664" s="448">
        <v>664</v>
      </c>
      <c r="B664" s="448" t="str">
        <f t="shared" si="10"/>
        <v>Trad664</v>
      </c>
    </row>
    <row r="665" spans="1:2">
      <c r="A665" s="448">
        <v>665</v>
      </c>
      <c r="B665" s="448" t="str">
        <f t="shared" si="10"/>
        <v>Trad665</v>
      </c>
    </row>
    <row r="666" spans="1:2">
      <c r="A666" s="448">
        <v>666</v>
      </c>
      <c r="B666" s="448" t="str">
        <f t="shared" si="10"/>
        <v>Trad666</v>
      </c>
    </row>
    <row r="667" spans="1:2">
      <c r="A667" s="448">
        <v>667</v>
      </c>
      <c r="B667" s="448" t="str">
        <f t="shared" si="10"/>
        <v>Trad667</v>
      </c>
    </row>
    <row r="668" spans="1:2">
      <c r="A668" s="448">
        <v>668</v>
      </c>
      <c r="B668" s="448" t="str">
        <f t="shared" si="10"/>
        <v>Trad668</v>
      </c>
    </row>
    <row r="669" spans="1:2">
      <c r="A669" s="448">
        <v>669</v>
      </c>
      <c r="B669" s="448" t="str">
        <f t="shared" si="10"/>
        <v>Trad669</v>
      </c>
    </row>
    <row r="670" spans="1:2">
      <c r="A670" s="448">
        <v>670</v>
      </c>
      <c r="B670" s="448" t="str">
        <f t="shared" si="10"/>
        <v>Trad670</v>
      </c>
    </row>
    <row r="671" spans="1:2">
      <c r="A671" s="448">
        <v>671</v>
      </c>
      <c r="B671" s="448" t="str">
        <f t="shared" si="10"/>
        <v>Trad671</v>
      </c>
    </row>
    <row r="672" spans="1:2">
      <c r="A672" s="448">
        <v>672</v>
      </c>
      <c r="B672" s="448" t="str">
        <f t="shared" si="10"/>
        <v>Trad672</v>
      </c>
    </row>
    <row r="673" spans="1:2">
      <c r="A673" s="448">
        <v>673</v>
      </c>
      <c r="B673" s="448" t="str">
        <f t="shared" si="10"/>
        <v>Trad673</v>
      </c>
    </row>
    <row r="674" spans="1:2">
      <c r="A674" s="448">
        <v>674</v>
      </c>
      <c r="B674" s="448" t="str">
        <f t="shared" si="10"/>
        <v>Trad674</v>
      </c>
    </row>
    <row r="675" spans="1:2">
      <c r="A675" s="448">
        <v>675</v>
      </c>
      <c r="B675" s="448" t="str">
        <f t="shared" si="10"/>
        <v>Trad675</v>
      </c>
    </row>
    <row r="676" spans="1:2">
      <c r="A676" s="448">
        <v>676</v>
      </c>
      <c r="B676" s="448" t="str">
        <f t="shared" si="10"/>
        <v>Trad676</v>
      </c>
    </row>
    <row r="677" spans="1:2">
      <c r="A677" s="448">
        <v>677</v>
      </c>
      <c r="B677" s="448" t="str">
        <f t="shared" si="10"/>
        <v>Trad677</v>
      </c>
    </row>
    <row r="678" spans="1:2">
      <c r="A678" s="448">
        <v>678</v>
      </c>
      <c r="B678" s="448" t="str">
        <f t="shared" si="10"/>
        <v>Trad678</v>
      </c>
    </row>
    <row r="679" spans="1:2">
      <c r="A679" s="448">
        <v>679</v>
      </c>
      <c r="B679" s="448" t="str">
        <f t="shared" si="10"/>
        <v>Trad679</v>
      </c>
    </row>
    <row r="680" spans="1:2">
      <c r="A680" s="448">
        <v>680</v>
      </c>
      <c r="B680" s="448" t="str">
        <f t="shared" si="10"/>
        <v>Trad680</v>
      </c>
    </row>
    <row r="681" spans="1:2">
      <c r="A681" s="448">
        <v>681</v>
      </c>
      <c r="B681" s="448" t="str">
        <f t="shared" si="10"/>
        <v>Trad681</v>
      </c>
    </row>
    <row r="682" spans="1:2">
      <c r="A682" s="448">
        <v>682</v>
      </c>
      <c r="B682" s="448" t="str">
        <f t="shared" si="10"/>
        <v>Trad682</v>
      </c>
    </row>
    <row r="683" spans="1:2">
      <c r="A683" s="448">
        <v>683</v>
      </c>
      <c r="B683" s="448" t="str">
        <f t="shared" si="10"/>
        <v>Trad683</v>
      </c>
    </row>
    <row r="684" spans="1:2">
      <c r="A684" s="448">
        <v>684</v>
      </c>
      <c r="B684" s="448" t="str">
        <f t="shared" si="10"/>
        <v>Trad684</v>
      </c>
    </row>
    <row r="685" spans="1:2">
      <c r="A685" s="448">
        <v>685</v>
      </c>
      <c r="B685" s="448" t="str">
        <f t="shared" si="10"/>
        <v>Trad685</v>
      </c>
    </row>
    <row r="686" spans="1:2">
      <c r="A686" s="448">
        <v>686</v>
      </c>
      <c r="B686" s="448" t="str">
        <f t="shared" si="10"/>
        <v>Trad686</v>
      </c>
    </row>
    <row r="687" spans="1:2">
      <c r="A687" s="448">
        <v>687</v>
      </c>
      <c r="B687" s="448" t="str">
        <f t="shared" si="10"/>
        <v>Trad687</v>
      </c>
    </row>
    <row r="688" spans="1:2">
      <c r="A688" s="448">
        <v>688</v>
      </c>
      <c r="B688" s="448" t="str">
        <f t="shared" si="10"/>
        <v>Trad688</v>
      </c>
    </row>
    <row r="689" spans="1:2">
      <c r="A689" s="448">
        <v>689</v>
      </c>
      <c r="B689" s="448" t="str">
        <f t="shared" si="10"/>
        <v>Trad689</v>
      </c>
    </row>
    <row r="690" spans="1:2">
      <c r="A690" s="448">
        <v>690</v>
      </c>
      <c r="B690" s="448" t="str">
        <f t="shared" si="10"/>
        <v>Trad690</v>
      </c>
    </row>
    <row r="691" spans="1:2">
      <c r="A691" s="448">
        <v>691</v>
      </c>
      <c r="B691" s="448" t="str">
        <f t="shared" si="10"/>
        <v>Trad691</v>
      </c>
    </row>
    <row r="692" spans="1:2">
      <c r="A692" s="448">
        <v>692</v>
      </c>
      <c r="B692" s="448" t="str">
        <f t="shared" si="10"/>
        <v>Trad692</v>
      </c>
    </row>
    <row r="693" spans="1:2">
      <c r="A693" s="448">
        <v>693</v>
      </c>
      <c r="B693" s="448" t="str">
        <f t="shared" si="10"/>
        <v>Trad693</v>
      </c>
    </row>
    <row r="694" spans="1:2">
      <c r="A694" s="448">
        <v>694</v>
      </c>
      <c r="B694" s="448" t="str">
        <f t="shared" si="10"/>
        <v>Trad694</v>
      </c>
    </row>
    <row r="695" spans="1:2">
      <c r="A695" s="448">
        <v>695</v>
      </c>
      <c r="B695" s="448" t="str">
        <f t="shared" si="10"/>
        <v>Trad695</v>
      </c>
    </row>
    <row r="696" spans="1:2">
      <c r="A696" s="448">
        <v>696</v>
      </c>
      <c r="B696" s="448" t="str">
        <f t="shared" si="10"/>
        <v>Trad696</v>
      </c>
    </row>
    <row r="697" spans="1:2">
      <c r="A697" s="448">
        <v>697</v>
      </c>
      <c r="B697" s="448" t="str">
        <f t="shared" si="10"/>
        <v>Trad697</v>
      </c>
    </row>
    <row r="698" spans="1:2">
      <c r="A698" s="448">
        <v>698</v>
      </c>
      <c r="B698" s="448" t="str">
        <f t="shared" si="10"/>
        <v>Trad698</v>
      </c>
    </row>
    <row r="699" spans="1:2">
      <c r="A699" s="448">
        <v>699</v>
      </c>
      <c r="B699" s="448" t="str">
        <f t="shared" si="10"/>
        <v>Trad699</v>
      </c>
    </row>
    <row r="700" spans="1:2">
      <c r="A700" s="448">
        <v>700</v>
      </c>
      <c r="B700" s="448" t="str">
        <f t="shared" si="10"/>
        <v>Trad700</v>
      </c>
    </row>
    <row r="701" spans="1:2">
      <c r="A701" s="448">
        <v>701</v>
      </c>
      <c r="B701" s="448" t="str">
        <f t="shared" si="10"/>
        <v>Trad701</v>
      </c>
    </row>
    <row r="702" spans="1:2">
      <c r="A702" s="448">
        <v>702</v>
      </c>
      <c r="B702" s="448" t="str">
        <f t="shared" si="10"/>
        <v>Trad702</v>
      </c>
    </row>
    <row r="703" spans="1:2">
      <c r="A703" s="448">
        <v>703</v>
      </c>
      <c r="B703" s="448" t="str">
        <f t="shared" si="10"/>
        <v>Trad703</v>
      </c>
    </row>
    <row r="704" spans="1:2">
      <c r="A704" s="448">
        <v>704</v>
      </c>
      <c r="B704" s="448" t="str">
        <f t="shared" si="10"/>
        <v>Trad704</v>
      </c>
    </row>
    <row r="705" spans="1:2">
      <c r="A705" s="448">
        <v>705</v>
      </c>
      <c r="B705" s="448" t="str">
        <f t="shared" si="10"/>
        <v>Trad705</v>
      </c>
    </row>
    <row r="706" spans="1:2">
      <c r="A706" s="448">
        <v>706</v>
      </c>
      <c r="B706" s="448" t="str">
        <f t="shared" ref="B706:B769" si="11">+_xlfn.CONCAT("Trad",A706)</f>
        <v>Trad706</v>
      </c>
    </row>
    <row r="707" spans="1:2">
      <c r="A707" s="448">
        <v>707</v>
      </c>
      <c r="B707" s="448" t="str">
        <f t="shared" si="11"/>
        <v>Trad707</v>
      </c>
    </row>
    <row r="708" spans="1:2">
      <c r="A708" s="448">
        <v>708</v>
      </c>
      <c r="B708" s="448" t="str">
        <f t="shared" si="11"/>
        <v>Trad708</v>
      </c>
    </row>
    <row r="709" spans="1:2">
      <c r="A709" s="448">
        <v>709</v>
      </c>
      <c r="B709" s="448" t="str">
        <f t="shared" si="11"/>
        <v>Trad709</v>
      </c>
    </row>
    <row r="710" spans="1:2">
      <c r="A710" s="448">
        <v>710</v>
      </c>
      <c r="B710" s="448" t="str">
        <f t="shared" si="11"/>
        <v>Trad710</v>
      </c>
    </row>
    <row r="711" spans="1:2">
      <c r="A711" s="448">
        <v>711</v>
      </c>
      <c r="B711" s="448" t="str">
        <f t="shared" si="11"/>
        <v>Trad711</v>
      </c>
    </row>
    <row r="712" spans="1:2">
      <c r="A712" s="448">
        <v>712</v>
      </c>
      <c r="B712" s="448" t="str">
        <f t="shared" si="11"/>
        <v>Trad712</v>
      </c>
    </row>
    <row r="713" spans="1:2">
      <c r="A713" s="448">
        <v>713</v>
      </c>
      <c r="B713" s="448" t="str">
        <f t="shared" si="11"/>
        <v>Trad713</v>
      </c>
    </row>
    <row r="714" spans="1:2">
      <c r="A714" s="448">
        <v>714</v>
      </c>
      <c r="B714" s="448" t="str">
        <f t="shared" si="11"/>
        <v>Trad714</v>
      </c>
    </row>
    <row r="715" spans="1:2">
      <c r="A715" s="448">
        <v>715</v>
      </c>
      <c r="B715" s="448" t="str">
        <f t="shared" si="11"/>
        <v>Trad715</v>
      </c>
    </row>
    <row r="716" spans="1:2">
      <c r="A716" s="448">
        <v>716</v>
      </c>
      <c r="B716" s="448" t="str">
        <f t="shared" si="11"/>
        <v>Trad716</v>
      </c>
    </row>
    <row r="717" spans="1:2">
      <c r="A717" s="448">
        <v>717</v>
      </c>
      <c r="B717" s="448" t="str">
        <f t="shared" si="11"/>
        <v>Trad717</v>
      </c>
    </row>
    <row r="718" spans="1:2">
      <c r="A718" s="448">
        <v>718</v>
      </c>
      <c r="B718" s="448" t="str">
        <f t="shared" si="11"/>
        <v>Trad718</v>
      </c>
    </row>
    <row r="719" spans="1:2">
      <c r="A719" s="448">
        <v>719</v>
      </c>
      <c r="B719" s="448" t="str">
        <f t="shared" si="11"/>
        <v>Trad719</v>
      </c>
    </row>
    <row r="720" spans="1:2">
      <c r="A720" s="448">
        <v>720</v>
      </c>
      <c r="B720" s="448" t="str">
        <f t="shared" si="11"/>
        <v>Trad720</v>
      </c>
    </row>
    <row r="721" spans="1:2">
      <c r="A721" s="448">
        <v>721</v>
      </c>
      <c r="B721" s="448" t="str">
        <f t="shared" si="11"/>
        <v>Trad721</v>
      </c>
    </row>
    <row r="722" spans="1:2">
      <c r="A722" s="448">
        <v>722</v>
      </c>
      <c r="B722" s="448" t="str">
        <f t="shared" si="11"/>
        <v>Trad722</v>
      </c>
    </row>
    <row r="723" spans="1:2">
      <c r="A723" s="448">
        <v>723</v>
      </c>
      <c r="B723" s="448" t="str">
        <f t="shared" si="11"/>
        <v>Trad723</v>
      </c>
    </row>
    <row r="724" spans="1:2">
      <c r="A724" s="448">
        <v>724</v>
      </c>
      <c r="B724" s="448" t="str">
        <f t="shared" si="11"/>
        <v>Trad724</v>
      </c>
    </row>
    <row r="725" spans="1:2">
      <c r="A725" s="448">
        <v>725</v>
      </c>
      <c r="B725" s="448" t="str">
        <f t="shared" si="11"/>
        <v>Trad725</v>
      </c>
    </row>
    <row r="726" spans="1:2">
      <c r="A726" s="448">
        <v>726</v>
      </c>
      <c r="B726" s="448" t="str">
        <f t="shared" si="11"/>
        <v>Trad726</v>
      </c>
    </row>
    <row r="727" spans="1:2">
      <c r="A727" s="448">
        <v>727</v>
      </c>
      <c r="B727" s="448" t="str">
        <f t="shared" si="11"/>
        <v>Trad727</v>
      </c>
    </row>
    <row r="728" spans="1:2">
      <c r="A728" s="448">
        <v>728</v>
      </c>
      <c r="B728" s="448" t="str">
        <f t="shared" si="11"/>
        <v>Trad728</v>
      </c>
    </row>
    <row r="729" spans="1:2">
      <c r="A729" s="448">
        <v>729</v>
      </c>
      <c r="B729" s="448" t="str">
        <f t="shared" si="11"/>
        <v>Trad729</v>
      </c>
    </row>
    <row r="730" spans="1:2">
      <c r="A730" s="448">
        <v>730</v>
      </c>
      <c r="B730" s="448" t="str">
        <f t="shared" si="11"/>
        <v>Trad730</v>
      </c>
    </row>
    <row r="731" spans="1:2">
      <c r="A731" s="448">
        <v>731</v>
      </c>
      <c r="B731" s="448" t="str">
        <f t="shared" si="11"/>
        <v>Trad731</v>
      </c>
    </row>
    <row r="732" spans="1:2">
      <c r="A732" s="448">
        <v>732</v>
      </c>
      <c r="B732" s="448" t="str">
        <f t="shared" si="11"/>
        <v>Trad732</v>
      </c>
    </row>
    <row r="733" spans="1:2">
      <c r="A733" s="448">
        <v>733</v>
      </c>
      <c r="B733" s="448" t="str">
        <f t="shared" si="11"/>
        <v>Trad733</v>
      </c>
    </row>
    <row r="734" spans="1:2">
      <c r="A734" s="448">
        <v>734</v>
      </c>
      <c r="B734" s="448" t="str">
        <f t="shared" si="11"/>
        <v>Trad734</v>
      </c>
    </row>
    <row r="735" spans="1:2">
      <c r="A735" s="448">
        <v>735</v>
      </c>
      <c r="B735" s="448" t="str">
        <f t="shared" si="11"/>
        <v>Trad735</v>
      </c>
    </row>
    <row r="736" spans="1:2">
      <c r="A736" s="448">
        <v>736</v>
      </c>
      <c r="B736" s="448" t="str">
        <f t="shared" si="11"/>
        <v>Trad736</v>
      </c>
    </row>
    <row r="737" spans="1:2">
      <c r="A737" s="448">
        <v>737</v>
      </c>
      <c r="B737" s="448" t="str">
        <f t="shared" si="11"/>
        <v>Trad737</v>
      </c>
    </row>
    <row r="738" spans="1:2">
      <c r="A738" s="448">
        <v>738</v>
      </c>
      <c r="B738" s="448" t="str">
        <f t="shared" si="11"/>
        <v>Trad738</v>
      </c>
    </row>
    <row r="739" spans="1:2">
      <c r="A739" s="448">
        <v>739</v>
      </c>
      <c r="B739" s="448" t="str">
        <f t="shared" si="11"/>
        <v>Trad739</v>
      </c>
    </row>
    <row r="740" spans="1:2">
      <c r="A740" s="448">
        <v>740</v>
      </c>
      <c r="B740" s="448" t="str">
        <f t="shared" si="11"/>
        <v>Trad740</v>
      </c>
    </row>
    <row r="741" spans="1:2">
      <c r="A741" s="448">
        <v>741</v>
      </c>
      <c r="B741" s="448" t="str">
        <f t="shared" si="11"/>
        <v>Trad741</v>
      </c>
    </row>
    <row r="742" spans="1:2">
      <c r="A742" s="448">
        <v>742</v>
      </c>
      <c r="B742" s="448" t="str">
        <f t="shared" si="11"/>
        <v>Trad742</v>
      </c>
    </row>
    <row r="743" spans="1:2">
      <c r="A743" s="448">
        <v>743</v>
      </c>
      <c r="B743" s="448" t="str">
        <f t="shared" si="11"/>
        <v>Trad743</v>
      </c>
    </row>
    <row r="744" spans="1:2">
      <c r="A744" s="448">
        <v>744</v>
      </c>
      <c r="B744" s="448" t="str">
        <f t="shared" si="11"/>
        <v>Trad744</v>
      </c>
    </row>
    <row r="745" spans="1:2">
      <c r="A745" s="448">
        <v>745</v>
      </c>
      <c r="B745" s="448" t="str">
        <f t="shared" si="11"/>
        <v>Trad745</v>
      </c>
    </row>
    <row r="746" spans="1:2">
      <c r="A746" s="448">
        <v>746</v>
      </c>
      <c r="B746" s="448" t="str">
        <f t="shared" si="11"/>
        <v>Trad746</v>
      </c>
    </row>
    <row r="747" spans="1:2">
      <c r="A747" s="448">
        <v>747</v>
      </c>
      <c r="B747" s="448" t="str">
        <f t="shared" si="11"/>
        <v>Trad747</v>
      </c>
    </row>
    <row r="748" spans="1:2">
      <c r="A748" s="448">
        <v>748</v>
      </c>
      <c r="B748" s="448" t="str">
        <f t="shared" si="11"/>
        <v>Trad748</v>
      </c>
    </row>
    <row r="749" spans="1:2">
      <c r="A749" s="448">
        <v>749</v>
      </c>
      <c r="B749" s="448" t="str">
        <f t="shared" si="11"/>
        <v>Trad749</v>
      </c>
    </row>
    <row r="750" spans="1:2">
      <c r="A750" s="448">
        <v>750</v>
      </c>
      <c r="B750" s="448" t="str">
        <f t="shared" si="11"/>
        <v>Trad750</v>
      </c>
    </row>
    <row r="751" spans="1:2">
      <c r="A751" s="448">
        <v>751</v>
      </c>
      <c r="B751" s="448" t="str">
        <f t="shared" si="11"/>
        <v>Trad751</v>
      </c>
    </row>
    <row r="752" spans="1:2">
      <c r="A752" s="448">
        <v>752</v>
      </c>
      <c r="B752" s="448" t="str">
        <f t="shared" si="11"/>
        <v>Trad752</v>
      </c>
    </row>
    <row r="753" spans="1:2">
      <c r="A753" s="448">
        <v>753</v>
      </c>
      <c r="B753" s="448" t="str">
        <f t="shared" si="11"/>
        <v>Trad753</v>
      </c>
    </row>
    <row r="754" spans="1:2">
      <c r="A754" s="448">
        <v>754</v>
      </c>
      <c r="B754" s="448" t="str">
        <f t="shared" si="11"/>
        <v>Trad754</v>
      </c>
    </row>
    <row r="755" spans="1:2">
      <c r="A755" s="448">
        <v>755</v>
      </c>
      <c r="B755" s="448" t="str">
        <f t="shared" si="11"/>
        <v>Trad755</v>
      </c>
    </row>
    <row r="756" spans="1:2">
      <c r="A756" s="448">
        <v>756</v>
      </c>
      <c r="B756" s="448" t="str">
        <f t="shared" si="11"/>
        <v>Trad756</v>
      </c>
    </row>
    <row r="757" spans="1:2">
      <c r="A757" s="448">
        <v>757</v>
      </c>
      <c r="B757" s="448" t="str">
        <f t="shared" si="11"/>
        <v>Trad757</v>
      </c>
    </row>
    <row r="758" spans="1:2">
      <c r="A758" s="448">
        <v>758</v>
      </c>
      <c r="B758" s="448" t="str">
        <f t="shared" si="11"/>
        <v>Trad758</v>
      </c>
    </row>
    <row r="759" spans="1:2">
      <c r="A759" s="448">
        <v>759</v>
      </c>
      <c r="B759" s="448" t="str">
        <f t="shared" si="11"/>
        <v>Trad759</v>
      </c>
    </row>
    <row r="760" spans="1:2">
      <c r="A760" s="448">
        <v>760</v>
      </c>
      <c r="B760" s="448" t="str">
        <f t="shared" si="11"/>
        <v>Trad760</v>
      </c>
    </row>
    <row r="761" spans="1:2">
      <c r="A761" s="448">
        <v>761</v>
      </c>
      <c r="B761" s="448" t="str">
        <f t="shared" si="11"/>
        <v>Trad761</v>
      </c>
    </row>
    <row r="762" spans="1:2">
      <c r="A762" s="448">
        <v>762</v>
      </c>
      <c r="B762" s="448" t="str">
        <f t="shared" si="11"/>
        <v>Trad762</v>
      </c>
    </row>
    <row r="763" spans="1:2">
      <c r="A763" s="448">
        <v>763</v>
      </c>
      <c r="B763" s="448" t="str">
        <f t="shared" si="11"/>
        <v>Trad763</v>
      </c>
    </row>
    <row r="764" spans="1:2">
      <c r="A764" s="448">
        <v>764</v>
      </c>
      <c r="B764" s="448" t="str">
        <f t="shared" si="11"/>
        <v>Trad764</v>
      </c>
    </row>
    <row r="765" spans="1:2">
      <c r="A765" s="448">
        <v>765</v>
      </c>
      <c r="B765" s="448" t="str">
        <f t="shared" si="11"/>
        <v>Trad765</v>
      </c>
    </row>
    <row r="766" spans="1:2">
      <c r="A766" s="448">
        <v>766</v>
      </c>
      <c r="B766" s="448" t="str">
        <f t="shared" si="11"/>
        <v>Trad766</v>
      </c>
    </row>
    <row r="767" spans="1:2">
      <c r="A767" s="448">
        <v>767</v>
      </c>
      <c r="B767" s="448" t="str">
        <f t="shared" si="11"/>
        <v>Trad767</v>
      </c>
    </row>
    <row r="768" spans="1:2">
      <c r="A768" s="448">
        <v>768</v>
      </c>
      <c r="B768" s="448" t="str">
        <f t="shared" si="11"/>
        <v>Trad768</v>
      </c>
    </row>
    <row r="769" spans="1:2">
      <c r="A769" s="448">
        <v>769</v>
      </c>
      <c r="B769" s="448" t="str">
        <f t="shared" si="11"/>
        <v>Trad769</v>
      </c>
    </row>
    <row r="770" spans="1:2">
      <c r="A770" s="448">
        <v>770</v>
      </c>
      <c r="B770" s="448" t="str">
        <f t="shared" ref="B770:B800" si="12">+_xlfn.CONCAT("Trad",A770)</f>
        <v>Trad770</v>
      </c>
    </row>
    <row r="771" spans="1:2">
      <c r="A771" s="448">
        <v>771</v>
      </c>
      <c r="B771" s="448" t="str">
        <f t="shared" si="12"/>
        <v>Trad771</v>
      </c>
    </row>
    <row r="772" spans="1:2">
      <c r="A772" s="448">
        <v>772</v>
      </c>
      <c r="B772" s="448" t="str">
        <f t="shared" si="12"/>
        <v>Trad772</v>
      </c>
    </row>
    <row r="773" spans="1:2">
      <c r="A773" s="448">
        <v>773</v>
      </c>
      <c r="B773" s="448" t="str">
        <f t="shared" si="12"/>
        <v>Trad773</v>
      </c>
    </row>
    <row r="774" spans="1:2">
      <c r="A774" s="448">
        <v>774</v>
      </c>
      <c r="B774" s="448" t="str">
        <f t="shared" si="12"/>
        <v>Trad774</v>
      </c>
    </row>
    <row r="775" spans="1:2">
      <c r="A775" s="448">
        <v>775</v>
      </c>
      <c r="B775" s="448" t="str">
        <f t="shared" si="12"/>
        <v>Trad775</v>
      </c>
    </row>
    <row r="776" spans="1:2">
      <c r="A776" s="448">
        <v>776</v>
      </c>
      <c r="B776" s="448" t="str">
        <f t="shared" si="12"/>
        <v>Trad776</v>
      </c>
    </row>
    <row r="777" spans="1:2">
      <c r="A777" s="448">
        <v>777</v>
      </c>
      <c r="B777" s="448" t="str">
        <f t="shared" si="12"/>
        <v>Trad777</v>
      </c>
    </row>
    <row r="778" spans="1:2">
      <c r="A778" s="448">
        <v>778</v>
      </c>
      <c r="B778" s="448" t="str">
        <f t="shared" si="12"/>
        <v>Trad778</v>
      </c>
    </row>
    <row r="779" spans="1:2">
      <c r="A779" s="448">
        <v>779</v>
      </c>
      <c r="B779" s="448" t="str">
        <f t="shared" si="12"/>
        <v>Trad779</v>
      </c>
    </row>
    <row r="780" spans="1:2">
      <c r="A780" s="448">
        <v>780</v>
      </c>
      <c r="B780" s="448" t="str">
        <f t="shared" si="12"/>
        <v>Trad780</v>
      </c>
    </row>
    <row r="781" spans="1:2">
      <c r="A781" s="448">
        <v>781</v>
      </c>
      <c r="B781" s="448" t="str">
        <f t="shared" si="12"/>
        <v>Trad781</v>
      </c>
    </row>
    <row r="782" spans="1:2">
      <c r="A782" s="448">
        <v>782</v>
      </c>
      <c r="B782" s="448" t="str">
        <f t="shared" si="12"/>
        <v>Trad782</v>
      </c>
    </row>
    <row r="783" spans="1:2">
      <c r="A783" s="448">
        <v>783</v>
      </c>
      <c r="B783" s="448" t="str">
        <f t="shared" si="12"/>
        <v>Trad783</v>
      </c>
    </row>
    <row r="784" spans="1:2">
      <c r="A784" s="448">
        <v>784</v>
      </c>
      <c r="B784" s="448" t="str">
        <f t="shared" si="12"/>
        <v>Trad784</v>
      </c>
    </row>
    <row r="785" spans="1:2">
      <c r="A785" s="448">
        <v>785</v>
      </c>
      <c r="B785" s="448" t="str">
        <f t="shared" si="12"/>
        <v>Trad785</v>
      </c>
    </row>
    <row r="786" spans="1:2">
      <c r="A786" s="448">
        <v>786</v>
      </c>
      <c r="B786" s="448" t="str">
        <f t="shared" si="12"/>
        <v>Trad786</v>
      </c>
    </row>
    <row r="787" spans="1:2">
      <c r="A787" s="448">
        <v>787</v>
      </c>
      <c r="B787" s="448" t="str">
        <f t="shared" si="12"/>
        <v>Trad787</v>
      </c>
    </row>
    <row r="788" spans="1:2">
      <c r="A788" s="448">
        <v>788</v>
      </c>
      <c r="B788" s="448" t="str">
        <f t="shared" si="12"/>
        <v>Trad788</v>
      </c>
    </row>
    <row r="789" spans="1:2">
      <c r="A789" s="448">
        <v>789</v>
      </c>
      <c r="B789" s="448" t="str">
        <f t="shared" si="12"/>
        <v>Trad789</v>
      </c>
    </row>
    <row r="790" spans="1:2">
      <c r="A790" s="448">
        <v>790</v>
      </c>
      <c r="B790" s="448" t="str">
        <f t="shared" si="12"/>
        <v>Trad790</v>
      </c>
    </row>
    <row r="791" spans="1:2">
      <c r="A791" s="448">
        <v>791</v>
      </c>
      <c r="B791" s="448" t="str">
        <f t="shared" si="12"/>
        <v>Trad791</v>
      </c>
    </row>
    <row r="792" spans="1:2">
      <c r="A792" s="448">
        <v>792</v>
      </c>
      <c r="B792" s="448" t="str">
        <f t="shared" si="12"/>
        <v>Trad792</v>
      </c>
    </row>
    <row r="793" spans="1:2">
      <c r="A793" s="448">
        <v>793</v>
      </c>
      <c r="B793" s="448" t="str">
        <f t="shared" si="12"/>
        <v>Trad793</v>
      </c>
    </row>
    <row r="794" spans="1:2">
      <c r="A794" s="448">
        <v>794</v>
      </c>
      <c r="B794" s="448" t="str">
        <f t="shared" si="12"/>
        <v>Trad794</v>
      </c>
    </row>
    <row r="795" spans="1:2">
      <c r="A795" s="448">
        <v>795</v>
      </c>
      <c r="B795" s="448" t="str">
        <f t="shared" si="12"/>
        <v>Trad795</v>
      </c>
    </row>
    <row r="796" spans="1:2">
      <c r="A796" s="448">
        <v>796</v>
      </c>
      <c r="B796" s="448" t="str">
        <f t="shared" si="12"/>
        <v>Trad796</v>
      </c>
    </row>
    <row r="797" spans="1:2">
      <c r="A797" s="448">
        <v>797</v>
      </c>
      <c r="B797" s="448" t="str">
        <f t="shared" si="12"/>
        <v>Trad797</v>
      </c>
    </row>
    <row r="798" spans="1:2">
      <c r="A798" s="448">
        <v>798</v>
      </c>
      <c r="B798" s="448" t="str">
        <f t="shared" si="12"/>
        <v>Trad798</v>
      </c>
    </row>
    <row r="799" spans="1:2">
      <c r="A799" s="448">
        <v>799</v>
      </c>
      <c r="B799" s="448" t="str">
        <f t="shared" si="12"/>
        <v>Trad799</v>
      </c>
    </row>
    <row r="800" spans="1:2">
      <c r="A800" s="448">
        <v>800</v>
      </c>
      <c r="B800" s="448" t="str">
        <f t="shared" si="12"/>
        <v>Trad800</v>
      </c>
    </row>
  </sheetData>
  <sheetProtection algorithmName="SHA-512" hashValue="uD7hpDJMLRM06uWpCgXo5XPXqmOVfRVcqGeyzjo2tmJKJF5KEnKnCxN/1UXKcR7VO6JVBmxHKw0pSVnwJ4okhA==" saltValue="LfpzDh0dN/zfQnUIHOT5Dg==" spinCount="100000" sheet="1" objects="1" scenarios="1"/>
  <autoFilter ref="A1:X800" xr:uid="{7E2B14AA-4641-44BD-88D1-2CC0EE07C26E}"/>
  <pageMargins left="0.19685039370078741" right="0.19685039370078741" top="0.35433070866141736" bottom="0.35433070866141736" header="0.31496062992125984" footer="0"/>
  <pageSetup paperSize="9" scale="48" fitToHeight="0"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o" ma:contentTypeID="0x0101003D5791BAE553E54299A2D7AB66547121" ma:contentTypeVersion="18" ma:contentTypeDescription="Creare un nuovo documento." ma:contentTypeScope="" ma:versionID="53a472d678388199d0762f7c3edec92d">
  <xsd:schema xmlns:xsd="http://www.w3.org/2001/XMLSchema" xmlns:xs="http://www.w3.org/2001/XMLSchema" xmlns:p="http://schemas.microsoft.com/office/2006/metadata/properties" xmlns:ns2="4ac9669e-3ecc-4027-9c07-5729b88496eb" xmlns:ns3="f71a907e-b217-416b-8f3e-9f31b26bbae2" targetNamespace="http://schemas.microsoft.com/office/2006/metadata/properties" ma:root="true" ma:fieldsID="067cb11156150ecbea8a2b9c0f903029" ns2:_="" ns3:_="">
    <xsd:import namespace="4ac9669e-3ecc-4027-9c07-5729b88496eb"/>
    <xsd:import namespace="f71a907e-b217-416b-8f3e-9f31b26bbae2"/>
    <xsd:element name="properties">
      <xsd:complexType>
        <xsd:sequence>
          <xsd:element name="documentManagement">
            <xsd:complexType>
              <xsd:all>
                <xsd:element ref="ns2:SharedWithDetails" minOccurs="0"/>
                <xsd:element ref="ns2:SharedWithUsers" minOccurs="0"/>
                <xsd:element ref="ns3:MediaServiceMetadata" minOccurs="0"/>
                <xsd:element ref="ns3:MediaServiceFastMetadata" minOccurs="0"/>
                <xsd:element ref="ns3:MediaServiceDateTaken" minOccurs="0"/>
                <xsd:element ref="ns3:MediaServiceAutoTags" minOccurs="0"/>
                <xsd:element ref="ns3:MediaServiceOCR" minOccurs="0"/>
                <xsd:element ref="ns3:MediaServiceLocation" minOccurs="0"/>
                <xsd:element ref="ns3:MediaServiceGenerationTime" minOccurs="0"/>
                <xsd:element ref="ns3:MediaServiceEventHashCode" minOccurs="0"/>
                <xsd:element ref="ns3:MediaServiceAutoKeyPoints" minOccurs="0"/>
                <xsd:element ref="ns3:MediaServiceKeyPoints" minOccurs="0"/>
                <xsd:element ref="ns3:MediaLengthInSeconds" minOccurs="0"/>
                <xsd:element ref="ns3:lcf76f155ced4ddcb4097134ff3c332f" minOccurs="0"/>
                <xsd:element ref="ns2:TaxCatchAll" minOccurs="0"/>
                <xsd:element ref="ns3:MediaServiceObjectDetectorVersions" minOccurs="0"/>
                <xsd:element ref="ns3:Availability"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ac9669e-3ecc-4027-9c07-5729b88496eb" elementFormDefault="qualified">
    <xsd:import namespace="http://schemas.microsoft.com/office/2006/documentManagement/types"/>
    <xsd:import namespace="http://schemas.microsoft.com/office/infopath/2007/PartnerControls"/>
    <xsd:element name="SharedWithDetails" ma:index="8" nillable="true" ma:displayName="Condiviso con dettagli" ma:internalName="SharedWithDetails" ma:readOnly="true">
      <xsd:simpleType>
        <xsd:restriction base="dms:Note">
          <xsd:maxLength value="255"/>
        </xsd:restriction>
      </xsd:simpleType>
    </xsd:element>
    <xsd:element name="SharedWithUsers" ma:index="9" nillable="true" ma:displayName="Condiviso con"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TaxCatchAll" ma:index="23" nillable="true" ma:displayName="Taxonomy Catch All Column" ma:hidden="true" ma:list="{e8fe4e58-ca6d-4368-9ea0-f36a7ff00c10}" ma:internalName="TaxCatchAll" ma:showField="CatchAllData" ma:web="4ac9669e-3ecc-4027-9c07-5729b88496eb">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f71a907e-b217-416b-8f3e-9f31b26bbae2" elementFormDefault="qualified">
    <xsd:import namespace="http://schemas.microsoft.com/office/2006/documentManagement/types"/>
    <xsd:import namespace="http://schemas.microsoft.com/office/infopath/2007/PartnerControls"/>
    <xsd:element name="MediaServiceMetadata" ma:index="10" nillable="true" ma:displayName="MediaServiceMetadata" ma:description="" ma:hidden="true" ma:internalName="MediaServiceMetadata" ma:readOnly="true">
      <xsd:simpleType>
        <xsd:restriction base="dms:Note"/>
      </xsd:simpleType>
    </xsd:element>
    <xsd:element name="MediaServiceFastMetadata" ma:index="11" nillable="true" ma:displayName="MediaServiceFastMetadata" ma:description="" ma:hidden="true" ma:internalName="MediaServiceFastMetadata" ma:readOnly="true">
      <xsd:simpleType>
        <xsd:restriction base="dms:Note"/>
      </xsd:simpleType>
    </xsd:element>
    <xsd:element name="MediaServiceDateTaken" ma:index="12" nillable="true" ma:displayName="MediaServiceDateTaken" ma:description="" ma:hidden="true" ma:internalName="MediaServiceDateTaken" ma:readOnly="true">
      <xsd:simpleType>
        <xsd:restriction base="dms:Text"/>
      </xsd:simpleType>
    </xsd:element>
    <xsd:element name="MediaServiceAutoTags" ma:index="13" nillable="true" ma:displayName="MediaServiceAutoTags" ma:description="" ma:internalName="MediaServiceAutoTags" ma:readOnly="true">
      <xsd:simpleType>
        <xsd:restriction base="dms:Text"/>
      </xsd:simpleType>
    </xsd:element>
    <xsd:element name="MediaServiceOCR" ma:index="14" nillable="true" ma:displayName="MediaServiceOCR" ma:internalName="MediaServiceOCR" ma:readOnly="true">
      <xsd:simpleType>
        <xsd:restriction base="dms:Note">
          <xsd:maxLength value="255"/>
        </xsd:restriction>
      </xsd:simpleType>
    </xsd:element>
    <xsd:element name="MediaServiceLocation" ma:index="15" nillable="true" ma:displayName="MediaServiceLocation" ma:internalName="MediaServiceLocatio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Tag immagine" ma:readOnly="false" ma:fieldId="{5cf76f15-5ced-4ddc-b409-7134ff3c332f}" ma:taxonomyMulti="true" ma:sspId="9108ccb5-cea6-4716-bdbd-2f7028708f06"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Availability" ma:index="25" nillable="true" ma:displayName="Availability" ma:description="versions &amp; edits" ma:format="Dropdown" ma:internalName="Availability">
      <xsd:simpleType>
        <xsd:restriction base="dms:Choice">
          <xsd:enumeration value="S1"/>
          <xsd:enumeration value="S2"/>
          <xsd:enumeration value="S3"/>
          <xsd:enumeration value="S4"/>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CDC"/>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p:properties xmlns:p="http://schemas.microsoft.com/office/2006/metadata/properties" xmlns:xsi="http://www.w3.org/2001/XMLSchema-instance" xmlns:pc="http://schemas.microsoft.com/office/infopath/2007/PartnerControls">
  <documentManagement>
    <TaxCatchAll xmlns="4ac9669e-3ecc-4027-9c07-5729b88496eb" xsi:nil="true"/>
    <lcf76f155ced4ddcb4097134ff3c332f xmlns="f71a907e-b217-416b-8f3e-9f31b26bbae2">
      <Terms xmlns="http://schemas.microsoft.com/office/infopath/2007/PartnerControls"/>
    </lcf76f155ced4ddcb4097134ff3c332f>
    <Availability xmlns="f71a907e-b217-416b-8f3e-9f31b26bbae2" xsi:nil="true"/>
  </documentManagement>
</p:properties>
</file>

<file path=customXml/itemProps1.xml><?xml version="1.0" encoding="utf-8"?>
<ds:datastoreItem xmlns:ds="http://schemas.openxmlformats.org/officeDocument/2006/customXml" ds:itemID="{98AC628E-DFE6-4B27-8591-FBD1D8530731}">
  <ds:schemaRefs>
    <ds:schemaRef ds:uri="http://schemas.microsoft.com/DataMashup"/>
  </ds:schemaRefs>
</ds:datastoreItem>
</file>

<file path=customXml/itemProps2.xml><?xml version="1.0" encoding="utf-8"?>
<ds:datastoreItem xmlns:ds="http://schemas.openxmlformats.org/officeDocument/2006/customXml" ds:itemID="{7B12B376-756A-47FF-9380-A96CA7C615E1}"/>
</file>

<file path=customXml/itemProps3.xml><?xml version="1.0" encoding="utf-8"?>
<ds:datastoreItem xmlns:ds="http://schemas.openxmlformats.org/officeDocument/2006/customXml" ds:itemID="{1050681C-585F-4BD8-9124-3D88D049053D}">
  <ds:schemaRefs>
    <ds:schemaRef ds:uri="http://schemas.microsoft.com/sharepoint/v3/contenttype/forms"/>
  </ds:schemaRefs>
</ds:datastoreItem>
</file>

<file path=customXml/itemProps4.xml><?xml version="1.0" encoding="utf-8"?>
<ds:datastoreItem xmlns:ds="http://schemas.openxmlformats.org/officeDocument/2006/customXml" ds:itemID="{7C222A84-7BB1-4AFE-96FA-5D1257EBC359}">
  <ds:schemaRefs>
    <ds:schemaRef ds:uri="http://schemas.microsoft.com/office/2006/metadata/properties"/>
    <ds:schemaRef ds:uri="http://schemas.microsoft.com/office/infopath/2007/PartnerControls"/>
    <ds:schemaRef ds:uri="759dfae6-7cbd-45d5-a089-6fc770b906e1"/>
    <ds:schemaRef ds:uri="09e347dc-15f6-4b49-90da-eda12376f2f6"/>
    <ds:schemaRef ds:uri="4ac9669e-3ecc-4027-9c07-5729b88496eb"/>
    <ds:schemaRef ds:uri="f71a907e-b217-416b-8f3e-9f31b26bbae2"/>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7</vt:i4>
      </vt:variant>
      <vt:variant>
        <vt:lpstr>Intervalli denominati</vt:lpstr>
      </vt:variant>
      <vt:variant>
        <vt:i4>70</vt:i4>
      </vt:variant>
    </vt:vector>
  </HeadingPairs>
  <TitlesOfParts>
    <vt:vector size="77" baseType="lpstr">
      <vt:lpstr>Calculator</vt:lpstr>
      <vt:lpstr>SupLL</vt:lpstr>
      <vt:lpstr>SupTabella</vt:lpstr>
      <vt:lpstr>SupGen</vt:lpstr>
      <vt:lpstr>Dwh_mig</vt:lpstr>
      <vt:lpstr>Trads</vt:lpstr>
      <vt:lpstr>TradsDB</vt:lpstr>
      <vt:lpstr>AllSup</vt:lpstr>
      <vt:lpstr>Angle</vt:lpstr>
      <vt:lpstr>Angoli</vt:lpstr>
      <vt:lpstr>Angolodw</vt:lpstr>
      <vt:lpstr>Angolodx</vt:lpstr>
      <vt:lpstr>Angolosu</vt:lpstr>
      <vt:lpstr>Angolosx</vt:lpstr>
      <vt:lpstr>Calculator!Area_stampa</vt:lpstr>
      <vt:lpstr>AssTen</vt:lpstr>
      <vt:lpstr>cerchio</vt:lpstr>
      <vt:lpstr>CoordXY</vt:lpstr>
      <vt:lpstr>CostrAng</vt:lpstr>
      <vt:lpstr>TradsDB!datform</vt:lpstr>
      <vt:lpstr>datform</vt:lpstr>
      <vt:lpstr>DB_Supporti</vt:lpstr>
      <vt:lpstr>DefDB</vt:lpstr>
      <vt:lpstr>DefProjBase</vt:lpstr>
      <vt:lpstr>DES_LIST</vt:lpstr>
      <vt:lpstr>Direzioni</vt:lpstr>
      <vt:lpstr>down</vt:lpstr>
      <vt:lpstr>Dx</vt:lpstr>
      <vt:lpstr>End</vt:lpstr>
      <vt:lpstr>First_seg</vt:lpstr>
      <vt:lpstr>FxDb</vt:lpstr>
      <vt:lpstr>ImpTow</vt:lpstr>
      <vt:lpstr>Inox</vt:lpstr>
      <vt:lpstr>inoxa2</vt:lpstr>
      <vt:lpstr>inoxa4</vt:lpstr>
      <vt:lpstr>IntNPT</vt:lpstr>
      <vt:lpstr>LIN</vt:lpstr>
      <vt:lpstr>LingTarga</vt:lpstr>
      <vt:lpstr>Lingue_int</vt:lpstr>
      <vt:lpstr>ListTowPost</vt:lpstr>
      <vt:lpstr>Loop</vt:lpstr>
      <vt:lpstr>MainLang</vt:lpstr>
      <vt:lpstr>MaxDef</vt:lpstr>
      <vt:lpstr>MaxSpan</vt:lpstr>
      <vt:lpstr>MetTow</vt:lpstr>
      <vt:lpstr>MinDef</vt:lpstr>
      <vt:lpstr>MinSpan</vt:lpstr>
      <vt:lpstr>NoAcc</vt:lpstr>
      <vt:lpstr>NPT</vt:lpstr>
      <vt:lpstr>PAESI_INT</vt:lpstr>
      <vt:lpstr>Partenza</vt:lpstr>
      <vt:lpstr>ProjSpan</vt:lpstr>
      <vt:lpstr>PT</vt:lpstr>
      <vt:lpstr>PuntiXY</vt:lpstr>
      <vt:lpstr>ShareStart</vt:lpstr>
      <vt:lpstr>slides</vt:lpstr>
      <vt:lpstr>SlidesA4</vt:lpstr>
      <vt:lpstr>SpanDB</vt:lpstr>
      <vt:lpstr>SpanTow</vt:lpstr>
      <vt:lpstr>Spear</vt:lpstr>
      <vt:lpstr>Spearevo</vt:lpstr>
      <vt:lpstr>SpecNo</vt:lpstr>
      <vt:lpstr>start</vt:lpstr>
      <vt:lpstr>StartLast</vt:lpstr>
      <vt:lpstr>StopStart</vt:lpstr>
      <vt:lpstr>Substructure</vt:lpstr>
      <vt:lpstr>sx</vt:lpstr>
      <vt:lpstr>Terminals</vt:lpstr>
      <vt:lpstr>TipSys</vt:lpstr>
      <vt:lpstr>TOPLATE</vt:lpstr>
      <vt:lpstr>TotLung</vt:lpstr>
      <vt:lpstr>tower</vt:lpstr>
      <vt:lpstr>towera2</vt:lpstr>
      <vt:lpstr>Traduzioni</vt:lpstr>
      <vt:lpstr>TypSup</vt:lpstr>
      <vt:lpstr>up</vt:lpstr>
      <vt:lpstr>Zinc</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Alberto Omiccioli</dc:creator>
  <cp:keywords/>
  <dc:description/>
  <cp:lastModifiedBy>Marco Greco</cp:lastModifiedBy>
  <cp:revision/>
  <dcterms:created xsi:type="dcterms:W3CDTF">2022-10-01T09:15:58Z</dcterms:created>
  <dcterms:modified xsi:type="dcterms:W3CDTF">2023-10-10T06:43:32Z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0x0101003D5791BAE553E54299A2D7AB66547121</vt:lpwstr>
  </property>
</Properties>
</file>